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6" windowHeight="9096" activeTab="2"/>
  </bookViews>
  <sheets>
    <sheet name="poules (2)" sheetId="1" r:id="rId1"/>
    <sheet name="Fiche de renseignements compéti" sheetId="2" r:id="rId2"/>
    <sheet name="grille" sheetId="3" r:id="rId3"/>
    <sheet name="Stats" sheetId="4" r:id="rId4"/>
    <sheet name="poules" sheetId="5" r:id="rId5"/>
    <sheet name="Classement" sheetId="6" r:id="rId6"/>
    <sheet name="Arbitres" sheetId="7" r:id="rId7"/>
    <sheet name="Organisation" sheetId="8" r:id="rId8"/>
  </sheets>
  <definedNames>
    <definedName name="_xlfn.IFERROR" hidden="1">#NAME?</definedName>
    <definedName name="Aquatique">'grille'!$N$9:$O$45</definedName>
    <definedName name="AquatiqueB1" localSheetId="7">#REF!</definedName>
    <definedName name="AquatiqueB2" localSheetId="7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2">'grille'!$1:$8</definedName>
    <definedName name="lieu">'Fiche de renseignements compéti'!$C$7</definedName>
    <definedName name="NombreMatchsPauseRepas">'Fiche de renseignements compéti'!$D$31</definedName>
    <definedName name="P1A" localSheetId="0">'poules (2)'!$H$27</definedName>
    <definedName name="P1A">'poules'!$H$27</definedName>
    <definedName name="P1B" localSheetId="0">'poules (2)'!$H$32</definedName>
    <definedName name="P1B">'poules'!$H$32</definedName>
    <definedName name="P2A" localSheetId="0">'poules (2)'!$C$31</definedName>
    <definedName name="P2A">'poules'!$C$31</definedName>
    <definedName name="P2B" localSheetId="0">'poules (2)'!$C$28</definedName>
    <definedName name="P2B">'poules'!$C$28</definedName>
    <definedName name="P3A" localSheetId="0">'poules (2)'!$C$27</definedName>
    <definedName name="P3A">'poules'!$C$27</definedName>
    <definedName name="P3B" localSheetId="0">'poules (2)'!$C$32</definedName>
    <definedName name="P3B">'poules'!$C$32</definedName>
    <definedName name="P4A" localSheetId="0">'poules (2)'!$M$24</definedName>
    <definedName name="P4A">'poules'!$M$24</definedName>
    <definedName name="P4B" localSheetId="0">'poules (2)'!$E$23</definedName>
    <definedName name="P4B">'poules'!$E$23</definedName>
    <definedName name="P5A" localSheetId="0">'poules (2)'!$E$24</definedName>
    <definedName name="P5A">'poules'!$E$24</definedName>
    <definedName name="P5B" localSheetId="0">'poules (2)'!$M$23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2">'grille'!$A$1:$R$47</definedName>
    <definedName name="_xlnm.Print_Area" localSheetId="7">'Organisation'!$A$1:$N$27</definedName>
    <definedName name="_xlnm.Print_Area" localSheetId="0">'poules (2)'!$A$1:$T$20</definedName>
  </definedNames>
  <calcPr fullCalcOnLoad="1"/>
</workbook>
</file>

<file path=xl/sharedStrings.xml><?xml version="1.0" encoding="utf-8"?>
<sst xmlns="http://schemas.openxmlformats.org/spreadsheetml/2006/main" count="521" uniqueCount="258">
  <si>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</si>
  <si>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</si>
  <si>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</si>
  <si>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</si>
  <si>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</si>
  <si>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</si>
  <si>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</si>
  <si>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</si>
  <si>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</si>
  <si>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</si>
  <si>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</si>
  <si>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</si>
  <si>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</si>
  <si>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</si>
  <si>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</si>
  <si>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</si>
  <si>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</si>
  <si>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</si>
  <si>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</si>
  <si>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</si>
  <si>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</si>
  <si>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</si>
  <si>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</si>
  <si>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</si>
  <si>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</si>
  <si>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</si>
  <si>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</si>
  <si>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</si>
  <si>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</si>
  <si>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</si>
  <si>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</si>
  <si>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</si>
  <si>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</si>
  <si>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</si>
  <si>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</si>
  <si>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</si>
  <si>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</si>
  <si>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</si>
  <si>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</si>
  <si>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</si>
  <si>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</si>
  <si>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</si>
  <si>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</si>
  <si>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</si>
  <si>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</si>
  <si>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</si>
  <si>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</si>
  <si>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</si>
  <si>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</si>
  <si>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</si>
  <si>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</si>
  <si>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</si>
  <si>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</si>
  <si>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</si>
  <si>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</si>
  <si>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</si>
  <si>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</si>
  <si>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</si>
  <si>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</si>
  <si>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</si>
  <si>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</si>
  <si>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</si>
  <si>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</si>
  <si>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</si>
  <si>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</si>
  <si>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</si>
  <si>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</si>
  <si>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</si>
  <si>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</si>
  <si>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</si>
  <si>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</si>
  <si>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</si>
  <si>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</si>
  <si>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</si>
  <si>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</si>
  <si>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</si>
  <si>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</si>
  <si>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</si>
  <si>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</si>
  <si>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</si>
  <si>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</si>
  <si>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</si>
  <si>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</si>
  <si>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</si>
  <si>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</si>
  <si>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</si>
  <si>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</si>
  <si>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</si>
  <si>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</si>
  <si>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</si>
  <si>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</si>
  <si>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</si>
  <si>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</si>
  <si>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</si>
  <si>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</si>
  <si>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</si>
  <si>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</si>
  <si>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</si>
  <si>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</si>
  <si>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</si>
  <si>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</si>
  <si>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</si>
  <si>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</si>
  <si>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</si>
  <si>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</si>
  <si>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</si>
  <si>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</si>
  <si>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</si>
  <si>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</si>
  <si>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</si>
  <si>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</si>
  <si>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</si>
  <si>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</si>
  <si>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</si>
  <si>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</si>
  <si>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</si>
  <si>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</si>
  <si>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</si>
  <si>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</si>
  <si>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</si>
  <si>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</si>
  <si>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</si>
  <si>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</si>
  <si>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</si>
  <si>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</si>
  <si>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</si>
  <si>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</si>
  <si>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</si>
  <si>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</si>
  <si>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</si>
  <si>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</si>
  <si>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</si>
  <si>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</si>
  <si>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</si>
  <si>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</si>
  <si>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</si>
  <si>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</si>
  <si>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</si>
  <si>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</si>
  <si>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</si>
  <si>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</si>
  <si>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</si>
  <si>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</si>
  <si>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</si>
  <si>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</si>
  <si>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</si>
  <si>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</si>
  <si>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</si>
  <si>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</si>
  <si>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</si>
  <si>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</si>
  <si>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</si>
  <si>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</si>
  <si>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</si>
  <si>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</si>
  <si>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</si>
  <si>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</si>
  <si>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</si>
  <si>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</si>
  <si>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</si>
  <si>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</si>
  <si>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</si>
  <si>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</si>
  <si>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</si>
  <si>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</si>
  <si>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</si>
  <si>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</si>
  <si>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</si>
  <si>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</si>
  <si>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</si>
  <si>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</si>
  <si>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</si>
  <si>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</si>
  <si>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</si>
  <si>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</si>
  <si>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</si>
  <si>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</si>
  <si>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</si>
  <si>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</si>
  <si>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</si>
  <si>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</si>
  <si>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</si>
  <si>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</si>
  <si>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</si>
  <si>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</si>
  <si>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</si>
  <si>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</si>
  <si>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</si>
  <si>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</si>
  <si>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</si>
  <si>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</si>
  <si>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</si>
  <si>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</si>
  <si>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</si>
  <si>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</si>
  <si>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</si>
  <si>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</si>
  <si>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</si>
  <si>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</si>
  <si>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</si>
  <si>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</si>
  <si>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</si>
  <si>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</si>
  <si>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D1 Masculine</t>
  </si>
  <si>
    <t>Fontenay</t>
  </si>
  <si>
    <t>Pontoise</t>
  </si>
  <si>
    <t>Franconville</t>
  </si>
  <si>
    <t>Rennes</t>
  </si>
  <si>
    <t>Moirans</t>
  </si>
  <si>
    <t>Dinan</t>
  </si>
  <si>
    <t>PESSAC</t>
  </si>
  <si>
    <t>Le Chesnay</t>
  </si>
  <si>
    <t>Sarcelles</t>
  </si>
  <si>
    <t>2021-2022</t>
  </si>
  <si>
    <t>13 et 14 novembre 2021</t>
  </si>
  <si>
    <t>Saintes</t>
  </si>
  <si>
    <t>Diderot XII</t>
  </si>
  <si>
    <t>SommeDeButs</t>
  </si>
  <si>
    <t>GARCIN</t>
  </si>
  <si>
    <t>SAMUEL</t>
  </si>
  <si>
    <t>MOIRANS</t>
  </si>
  <si>
    <t>Deimat</t>
  </si>
  <si>
    <t>Antoine</t>
  </si>
  <si>
    <t>DINAN</t>
  </si>
  <si>
    <t>Dusfourd</t>
  </si>
  <si>
    <t>Florentin</t>
  </si>
  <si>
    <t>SAINTES</t>
  </si>
  <si>
    <t>CHAUDON</t>
  </si>
  <si>
    <t>CEDRIC</t>
  </si>
  <si>
    <t>FRANCONVILLE</t>
  </si>
  <si>
    <t>PONTOISE</t>
  </si>
  <si>
    <t>BUTS</t>
  </si>
  <si>
    <t>SommeDeprison</t>
  </si>
  <si>
    <t>SommeDeexpulsion définitive</t>
  </si>
  <si>
    <t>RENNES</t>
  </si>
  <si>
    <t>FONTENAY</t>
  </si>
  <si>
    <t>PRISONS</t>
  </si>
  <si>
    <t>D1M</t>
  </si>
  <si>
    <t>LE CHESNAY</t>
  </si>
  <si>
    <t>DIDEROT XII</t>
  </si>
  <si>
    <t>Crolotte</t>
  </si>
  <si>
    <t>Edouard</t>
  </si>
  <si>
    <t>BELLOIR</t>
  </si>
  <si>
    <t>Bastien</t>
  </si>
  <si>
    <t>Gillet Rémi</t>
  </si>
  <si>
    <t>Lahlou Dounia</t>
  </si>
  <si>
    <t>Gohel Yann</t>
  </si>
  <si>
    <t>HEURTAUT VINCENT</t>
  </si>
  <si>
    <t>Charrier Thomas</t>
  </si>
  <si>
    <t>Giacomello Laurent</t>
  </si>
  <si>
    <t>BENOIT Patrick</t>
  </si>
  <si>
    <t>Debrion Bernard</t>
  </si>
  <si>
    <t>Dooms Maxime</t>
  </si>
  <si>
    <t>ENGELBRECHT</t>
  </si>
  <si>
    <t>Diederick</t>
  </si>
  <si>
    <t>Manche 3</t>
  </si>
  <si>
    <t>Groupe A</t>
  </si>
  <si>
    <t>Groupe 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</si>
</sst>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3" applyFont="1" applyFill="1" applyAlignment="1">
      <alignment horizontal="center"/>
      <protection/>
    </xf>
    <xf numFmtId="0" fontId="0" fillId="36" borderId="0" xfId="53" applyFill="1">
      <alignment/>
      <protection/>
    </xf>
    <xf numFmtId="0" fontId="0" fillId="36" borderId="0" xfId="53" applyFill="1" applyAlignment="1">
      <alignment vertical="center" wrapText="1"/>
      <protection/>
    </xf>
    <xf numFmtId="0" fontId="3" fillId="37" borderId="17" xfId="53" applyFont="1" applyFill="1" applyBorder="1" applyAlignment="1">
      <alignment horizontal="center"/>
      <protection/>
    </xf>
    <xf numFmtId="0" fontId="4" fillId="37" borderId="15" xfId="53" applyFont="1" applyFill="1" applyBorder="1" applyAlignment="1">
      <alignment horizontal="center"/>
      <protection/>
    </xf>
    <xf numFmtId="0" fontId="1" fillId="36" borderId="0" xfId="53" applyFont="1" applyFill="1">
      <alignment/>
      <protection/>
    </xf>
    <xf numFmtId="0" fontId="0" fillId="37" borderId="17" xfId="53" applyFill="1" applyBorder="1" applyAlignment="1">
      <alignment horizontal="left"/>
      <protection/>
    </xf>
    <xf numFmtId="0" fontId="0" fillId="37" borderId="17" xfId="53" applyFill="1" applyBorder="1">
      <alignment/>
      <protection/>
    </xf>
    <xf numFmtId="0" fontId="3" fillId="36" borderId="0" xfId="53" applyFont="1" applyFill="1" applyBorder="1" applyAlignment="1">
      <alignment horizontal="center"/>
      <protection/>
    </xf>
    <xf numFmtId="0" fontId="0" fillId="36" borderId="0" xfId="53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4" applyNumberFormat="1" applyFont="1" applyFill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3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41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3" applyFill="1" applyBorder="1">
      <alignment/>
      <protection/>
    </xf>
    <xf numFmtId="0" fontId="0" fillId="41" borderId="42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49" fontId="0" fillId="0" borderId="17" xfId="54" applyNumberFormat="1" applyFont="1" applyFill="1" applyBorder="1" applyAlignment="1">
      <alignment horizontal="center" shrinkToFit="1"/>
      <protection/>
    </xf>
    <xf numFmtId="0" fontId="0" fillId="0" borderId="17" xfId="54" applyBorder="1">
      <alignment/>
      <protection/>
    </xf>
    <xf numFmtId="0" fontId="0" fillId="0" borderId="0" xfId="54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24" fillId="45" borderId="49" xfId="55" applyFont="1" applyFill="1" applyBorder="1" applyAlignment="1">
      <alignment horizontal="center"/>
      <protection/>
    </xf>
    <xf numFmtId="0" fontId="24" fillId="0" borderId="50" xfId="55" applyFont="1" applyFill="1" applyBorder="1" applyAlignment="1">
      <alignment wrapText="1"/>
      <protection/>
    </xf>
    <xf numFmtId="0" fontId="24" fillId="0" borderId="50" xfId="55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1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56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2" borderId="6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6" borderId="0" xfId="0" applyFont="1" applyFill="1" applyAlignment="1">
      <alignment horizontal="center" vertical="center"/>
    </xf>
    <xf numFmtId="0" fontId="1" fillId="0" borderId="61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1" fillId="36" borderId="0" xfId="53" applyFont="1" applyFill="1" applyAlignment="1">
      <alignment vertical="center" wrapText="1"/>
      <protection/>
    </xf>
    <xf numFmtId="0" fontId="3" fillId="36" borderId="0" xfId="53" applyFont="1" applyFill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10" fillId="0" borderId="57" xfId="53" applyFont="1" applyBorder="1" applyAlignment="1">
      <alignment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_Stats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6">
    <dxf>
      <font>
        <color theme="0"/>
      </font>
    </dxf>
    <dxf>
      <font>
        <color theme="8" tint="0.7999799847602844"/>
      </font>
    </dxf>
    <dxf>
      <font>
        <color theme="0"/>
      </font>
    </dxf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571500</xdr:colOff>
      <xdr:row>2</xdr:row>
      <xdr:rowOff>19050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2</xdr:col>
      <xdr:colOff>1085850</xdr:colOff>
      <xdr:row>2</xdr:row>
      <xdr:rowOff>19050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171450</xdr:rowOff>
    </xdr:from>
    <xdr:to>
      <xdr:col>0</xdr:col>
      <xdr:colOff>1590675</xdr:colOff>
      <xdr:row>1</xdr:row>
      <xdr:rowOff>1143000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504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097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19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28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384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479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86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495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67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290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39909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00600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0"/>
            <a:ext cx="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66750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574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14300" cy="228600"/>
    <xdr:sp>
      <xdr:nvSpPr>
        <xdr:cNvPr id="18" name="Text Box 69"/>
        <xdr:cNvSpPr txBox="1">
          <a:spLocks noChangeArrowheads="1"/>
        </xdr:cNvSpPr>
      </xdr:nvSpPr>
      <xdr:spPr>
        <a:xfrm>
          <a:off x="8972550" y="2362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57150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390525"/>
          <a:ext cx="1504950" cy="676275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81150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6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104775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28800"/>
          <a:ext cx="1476375" cy="428625"/>
          <a:chOff x="548" y="289"/>
          <a:chExt cx="80" cy="90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241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04775" cy="228600"/>
    <xdr:sp>
      <xdr:nvSpPr>
        <xdr:cNvPr id="29" name="Text Box 80"/>
        <xdr:cNvSpPr txBox="1">
          <a:spLocks noChangeArrowheads="1"/>
        </xdr:cNvSpPr>
      </xdr:nvSpPr>
      <xdr:spPr>
        <a:xfrm>
          <a:off x="9191625" y="2676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0510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1430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28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5275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04775" cy="209550"/>
    <xdr:sp>
      <xdr:nvSpPr>
        <xdr:cNvPr id="33" name="Text Box 84"/>
        <xdr:cNvSpPr txBox="1">
          <a:spLocks noChangeArrowheads="1"/>
        </xdr:cNvSpPr>
      </xdr:nvSpPr>
      <xdr:spPr>
        <a:xfrm>
          <a:off x="9105900" y="3390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19450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14300" cy="200025"/>
    <xdr:sp>
      <xdr:nvSpPr>
        <xdr:cNvPr id="35" name="Text Box 87"/>
        <xdr:cNvSpPr txBox="1">
          <a:spLocks noChangeArrowheads="1"/>
        </xdr:cNvSpPr>
      </xdr:nvSpPr>
      <xdr:spPr>
        <a:xfrm>
          <a:off x="9496425" y="351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48050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04775" cy="200025"/>
    <xdr:sp>
      <xdr:nvSpPr>
        <xdr:cNvPr id="37" name="Text Box 90"/>
        <xdr:cNvSpPr txBox="1">
          <a:spLocks noChangeArrowheads="1"/>
        </xdr:cNvSpPr>
      </xdr:nvSpPr>
      <xdr:spPr>
        <a:xfrm>
          <a:off x="9629775" y="3905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33375"/>
          <a:ext cx="714375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38100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29050"/>
          <a:ext cx="704850" cy="285750"/>
          <a:chOff x="548" y="289"/>
          <a:chExt cx="80" cy="57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7"/>
            <a:ext cx="1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23900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2990850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590675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9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1990725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09775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3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14375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1"/>
            <a:ext cx="1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38125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0"/>
            <a:ext cx="34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695325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695325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11"/>
            <a:ext cx="18" cy="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47850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5" cy="5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57450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6" y="354"/>
            <a:ext cx="3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09925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09900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82"/>
            <a:ext cx="18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895725"/>
          <a:ext cx="400050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6"/>
            <a:ext cx="18" cy="2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71925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9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33425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19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19050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43425"/>
          <a:ext cx="3581400" cy="200025"/>
          <a:chOff x="548" y="289"/>
          <a:chExt cx="80" cy="44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Z53"/>
  <sheetViews>
    <sheetView view="pageBreakPreview" zoomScale="60" zoomScaleNormal="85" workbookViewId="0" topLeftCell="A1">
      <selection activeCell="A1" sqref="A1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211" t="str">
        <f>saison</f>
        <v>2021-2022</v>
      </c>
      <c r="K1" s="212"/>
      <c r="L1" s="212"/>
      <c r="M1" s="212"/>
      <c r="N1" s="212"/>
      <c r="O1" s="212"/>
      <c r="P1" s="212"/>
      <c r="Q1" s="212"/>
      <c r="R1" s="212"/>
      <c r="S1" s="213"/>
    </row>
    <row r="2" spans="6:19" s="71" customFormat="1" ht="30" customHeight="1">
      <c r="F2" s="72"/>
      <c r="G2" s="72"/>
      <c r="H2" s="54" t="s">
        <v>37</v>
      </c>
      <c r="J2" s="214" t="str">
        <f>lieu</f>
        <v>Sarcelles</v>
      </c>
      <c r="K2" s="215"/>
      <c r="L2" s="215"/>
      <c r="M2" s="215"/>
      <c r="N2" s="215"/>
      <c r="O2" s="215"/>
      <c r="P2" s="215"/>
      <c r="Q2" s="215"/>
      <c r="R2" s="215"/>
      <c r="S2" s="216"/>
    </row>
    <row r="3" spans="12:19" s="73" customFormat="1" ht="25.5" customHeight="1">
      <c r="L3" s="217" t="s">
        <v>70</v>
      </c>
      <c r="M3" s="217"/>
      <c r="N3" s="217"/>
      <c r="O3" s="217"/>
      <c r="P3" s="217"/>
      <c r="Q3" s="217"/>
      <c r="R3" s="217"/>
      <c r="S3" s="217"/>
    </row>
    <row r="4" spans="1:20" s="73" customFormat="1" ht="21" customHeight="1">
      <c r="A4" s="54" t="s">
        <v>38</v>
      </c>
      <c r="C4" s="211" t="str">
        <f>date</f>
        <v>13 et 14 novembre 2021</v>
      </c>
      <c r="D4" s="212"/>
      <c r="E4" s="212"/>
      <c r="F4" s="212"/>
      <c r="G4" s="212"/>
      <c r="H4" s="213"/>
      <c r="I4" s="218" t="s">
        <v>39</v>
      </c>
      <c r="J4" s="218"/>
      <c r="K4" s="219"/>
      <c r="L4" s="211" t="str">
        <f>catégorie</f>
        <v>D1 Masculine</v>
      </c>
      <c r="M4" s="212"/>
      <c r="N4" s="212"/>
      <c r="O4" s="212"/>
      <c r="P4" s="212"/>
      <c r="Q4" s="212"/>
      <c r="R4" s="212"/>
      <c r="S4" s="212"/>
      <c r="T4" s="213"/>
    </row>
    <row r="5" spans="1:24" s="95" customFormat="1" ht="18" customHeight="1">
      <c r="A5" s="93"/>
      <c r="B5" s="210" t="s">
        <v>69</v>
      </c>
      <c r="C5" s="210"/>
      <c r="D5" s="210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210" t="s">
        <v>137</v>
      </c>
      <c r="C6" s="210"/>
      <c r="D6" s="210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09" t="s">
        <v>30</v>
      </c>
      <c r="Q7" s="209"/>
      <c r="R7" s="209" t="s">
        <v>31</v>
      </c>
      <c r="S7" s="209"/>
      <c r="T7" s="75"/>
      <c r="U7" s="75"/>
      <c r="V7" s="75"/>
      <c r="W7" s="75"/>
      <c r="X7" s="75"/>
    </row>
    <row r="8" spans="2:19" ht="16.5" thickBot="1" thickTop="1">
      <c r="B8" s="40">
        <v>1</v>
      </c>
      <c r="C8" s="101" t="str">
        <f>PA1</f>
        <v>Rennes</v>
      </c>
      <c r="D8" s="40"/>
      <c r="E8" s="114"/>
      <c r="F8" s="114"/>
      <c r="G8" s="35"/>
      <c r="H8" s="114"/>
      <c r="I8" s="114"/>
      <c r="J8" s="35">
        <f>IF(grille!G22&lt;&gt;"",grille!G22,"")</f>
        <v>3</v>
      </c>
      <c r="K8" s="114"/>
      <c r="L8" s="114"/>
      <c r="M8" s="41">
        <f>IF(grille!G28&lt;&gt;"",grille!G28,"")</f>
        <v>9</v>
      </c>
      <c r="N8" s="161">
        <f>CalculPointMatchs(D8,D9,G8,G10,J8,J11,M8,M12)</f>
      </c>
      <c r="O8" s="33">
        <f>IF(AND(N8&lt;&gt;"",N9&lt;&gt;"",N10&lt;&gt;"",N11&lt;&gt;"",N12&lt;&gt;""),RANK(N8,N$8:N$12),"")</f>
      </c>
      <c r="P8" s="206">
        <f>SUM(D9,G10,J11,M12)</f>
        <v>3</v>
      </c>
      <c r="Q8" s="207"/>
      <c r="R8" s="208">
        <f>SUM(D8:M8)</f>
        <v>12</v>
      </c>
      <c r="S8" s="207"/>
    </row>
    <row r="9" spans="2:19" ht="16.5" thickBot="1" thickTop="1">
      <c r="B9" s="42">
        <v>3</v>
      </c>
      <c r="C9" s="102" t="str">
        <f>PA3</f>
        <v>Dinan</v>
      </c>
      <c r="D9" s="42"/>
      <c r="E9" s="113"/>
      <c r="F9" s="36"/>
      <c r="G9" s="113"/>
      <c r="H9" s="113"/>
      <c r="I9" s="36">
        <f>IF(grille!G20&lt;&gt;"",grille!G20,"")</f>
        <v>4</v>
      </c>
      <c r="J9" s="113"/>
      <c r="K9" s="113"/>
      <c r="L9" s="36">
        <f>IF(grille!G26&lt;&gt;"",grille!G26,"")</f>
        <v>2</v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06">
        <f>SUM(D8,F12,I10,L11)</f>
        <v>2</v>
      </c>
      <c r="Q9" s="207"/>
      <c r="R9" s="208">
        <f>SUM(D9:M9)</f>
        <v>6</v>
      </c>
      <c r="S9" s="207"/>
    </row>
    <row r="10" spans="2:19" ht="16.5" thickBot="1" thickTop="1">
      <c r="B10" s="42">
        <v>5</v>
      </c>
      <c r="C10" s="102" t="str">
        <f>PA5</f>
        <v>Franconville</v>
      </c>
      <c r="D10" s="111"/>
      <c r="E10" s="36"/>
      <c r="F10" s="113"/>
      <c r="G10" s="36"/>
      <c r="H10" s="113"/>
      <c r="I10" s="36">
        <f>IF(grille!H20&lt;&gt;"",grille!H20,"")</f>
        <v>1</v>
      </c>
      <c r="J10" s="113"/>
      <c r="K10" s="36">
        <f>IF(grille!G24&lt;&gt;"",grille!G24,"")</f>
        <v>1</v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06">
        <f>SUM(E11,G8,I9,K12)</f>
        <v>6</v>
      </c>
      <c r="Q10" s="207"/>
      <c r="R10" s="208">
        <f>SUM(D10:M10)</f>
        <v>2</v>
      </c>
      <c r="S10" s="207"/>
    </row>
    <row r="11" spans="2:19" ht="16.5" thickBot="1" thickTop="1">
      <c r="B11" s="42">
        <v>7</v>
      </c>
      <c r="C11" s="102" t="str">
        <f>PA7</f>
        <v>Pontoise</v>
      </c>
      <c r="D11" s="111"/>
      <c r="E11" s="36"/>
      <c r="F11" s="113"/>
      <c r="G11" s="113"/>
      <c r="H11" s="24"/>
      <c r="I11" s="113"/>
      <c r="J11" s="24">
        <f>IF(grille!H22&lt;&gt;"",grille!H22,"")</f>
        <v>3</v>
      </c>
      <c r="K11" s="113"/>
      <c r="L11" s="36">
        <f>IF(grille!H26&lt;&gt;"",grille!H26,"")</f>
        <v>1</v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06">
        <f>SUM(E10,H12,J8,L9)</f>
        <v>5</v>
      </c>
      <c r="Q11" s="207"/>
      <c r="R11" s="208">
        <f>SUM(D11:M11)</f>
        <v>4</v>
      </c>
      <c r="S11" s="207"/>
    </row>
    <row r="12" spans="2:19" ht="16.5" thickBot="1" thickTop="1">
      <c r="B12" s="53">
        <v>9</v>
      </c>
      <c r="C12" s="103" t="str">
        <f>PA9</f>
        <v>PESSAC</v>
      </c>
      <c r="D12" s="112"/>
      <c r="E12" s="116"/>
      <c r="F12" s="25"/>
      <c r="G12" s="116"/>
      <c r="H12" s="25"/>
      <c r="I12" s="116"/>
      <c r="J12" s="116"/>
      <c r="K12" s="37">
        <f>IF(grille!H24&lt;&gt;"",grille!H24,"")</f>
        <v>2</v>
      </c>
      <c r="L12" s="116"/>
      <c r="M12" s="39">
        <f>IF(grille!H28&lt;&gt;"",grille!H28,"")</f>
        <v>0</v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06">
        <f>SUM(F9,H11,K10,M8)</f>
        <v>10</v>
      </c>
      <c r="Q12" s="207"/>
      <c r="R12" s="208">
        <f>SUM(D12:M12)</f>
        <v>2</v>
      </c>
      <c r="S12" s="207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09" t="s">
        <v>30</v>
      </c>
      <c r="Q15" s="209"/>
      <c r="R15" s="209" t="s">
        <v>31</v>
      </c>
      <c r="S15" s="209"/>
    </row>
    <row r="16" spans="2:19" ht="16.5" thickBot="1" thickTop="1">
      <c r="B16" s="40">
        <v>2</v>
      </c>
      <c r="C16" s="101" t="str">
        <f>PB2</f>
        <v>Fontenay</v>
      </c>
      <c r="D16" s="40"/>
      <c r="E16" s="114"/>
      <c r="F16" s="114"/>
      <c r="G16" s="35"/>
      <c r="H16" s="114"/>
      <c r="I16" s="114"/>
      <c r="J16" s="35">
        <f>IF(grille!G23&lt;&gt;"",grille!G23,"")</f>
        <v>3</v>
      </c>
      <c r="K16" s="114"/>
      <c r="L16" s="114"/>
      <c r="M16" s="41">
        <f>IF(grille!G29&lt;&gt;"",grille!G29,"")</f>
        <v>2</v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06">
        <f>SUM(D17,G18,J19,M20)</f>
        <v>3</v>
      </c>
      <c r="Q16" s="207"/>
      <c r="R16" s="208">
        <f>SUM(D16:M16)</f>
        <v>5</v>
      </c>
      <c r="S16" s="207"/>
    </row>
    <row r="17" spans="2:19" ht="16.5" thickBot="1" thickTop="1">
      <c r="B17" s="42">
        <v>4</v>
      </c>
      <c r="C17" s="102" t="str">
        <f>PB4</f>
        <v>Moirans</v>
      </c>
      <c r="D17" s="42"/>
      <c r="E17" s="113"/>
      <c r="F17" s="36"/>
      <c r="G17" s="113"/>
      <c r="H17" s="113"/>
      <c r="I17" s="36">
        <f>IF(grille!G21&lt;&gt;"",grille!G21,"")</f>
        <v>7</v>
      </c>
      <c r="J17" s="113"/>
      <c r="K17" s="113"/>
      <c r="L17" s="36">
        <f>IF(grille!G27&lt;&gt;"",grille!G27,"")</f>
        <v>6</v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06">
        <f>SUM(D16,F20,I18,L19)</f>
        <v>0</v>
      </c>
      <c r="Q17" s="207"/>
      <c r="R17" s="208">
        <f>SUM(D17:M17)</f>
        <v>13</v>
      </c>
      <c r="S17" s="207"/>
    </row>
    <row r="18" spans="2:19" ht="16.5" thickBot="1" thickTop="1">
      <c r="B18" s="42">
        <v>6</v>
      </c>
      <c r="C18" s="102" t="str">
        <f>PB6</f>
        <v>Saintes</v>
      </c>
      <c r="D18" s="111"/>
      <c r="E18" s="36"/>
      <c r="F18" s="113"/>
      <c r="G18" s="36"/>
      <c r="H18" s="113"/>
      <c r="I18" s="36">
        <f>IF(grille!H21&lt;&gt;"",grille!H21,"")</f>
        <v>0</v>
      </c>
      <c r="J18" s="113"/>
      <c r="K18" s="36">
        <f>IF(grille!G25&lt;&gt;"",grille!G25,"")</f>
        <v>2</v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06">
        <f>SUM(E19,G16,I17,K20)</f>
        <v>9</v>
      </c>
      <c r="Q18" s="207"/>
      <c r="R18" s="208">
        <f>SUM(D18:M18)</f>
        <v>2</v>
      </c>
      <c r="S18" s="207"/>
    </row>
    <row r="19" spans="2:19" ht="16.5" thickBot="1" thickTop="1">
      <c r="B19" s="42">
        <v>8</v>
      </c>
      <c r="C19" s="102" t="str">
        <f>PB8</f>
        <v>Diderot XII</v>
      </c>
      <c r="D19" s="111"/>
      <c r="E19" s="36"/>
      <c r="F19" s="113"/>
      <c r="G19" s="113"/>
      <c r="H19" s="24">
        <f>IF(grille!G18&lt;&gt;"",grille!G18,"")</f>
        <v>1</v>
      </c>
      <c r="I19" s="113"/>
      <c r="J19" s="24">
        <f>IF(grille!H23&lt;&gt;"",grille!H23,"")</f>
        <v>2</v>
      </c>
      <c r="K19" s="113"/>
      <c r="L19" s="36">
        <f>IF(grille!H27&lt;&gt;"",grille!H27,"")</f>
        <v>0</v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06">
        <f>SUM(E18,H20,J16,L17)</f>
        <v>11</v>
      </c>
      <c r="Q19" s="207"/>
      <c r="R19" s="208">
        <f>SUM(D19:M19)</f>
        <v>3</v>
      </c>
      <c r="S19" s="207"/>
    </row>
    <row r="20" spans="2:19" ht="16.5" thickBot="1" thickTop="1">
      <c r="B20" s="53">
        <v>10</v>
      </c>
      <c r="C20" s="103" t="str">
        <f>PB10</f>
        <v>Le Chesnay</v>
      </c>
      <c r="D20" s="112"/>
      <c r="E20" s="116"/>
      <c r="F20" s="25"/>
      <c r="G20" s="116"/>
      <c r="H20" s="25">
        <f>IF(grille!H18&lt;&gt;"",grille!H18,"")</f>
        <v>2</v>
      </c>
      <c r="I20" s="116"/>
      <c r="J20" s="116"/>
      <c r="K20" s="37">
        <f>IF(grille!H25&lt;&gt;"",grille!H25,"")</f>
        <v>2</v>
      </c>
      <c r="L20" s="116"/>
      <c r="M20" s="39">
        <f>IF(grille!H29&lt;&gt;"",grille!H29,"")</f>
        <v>1</v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06">
        <f>SUM(F17,H19,K18,M16)</f>
        <v>5</v>
      </c>
      <c r="Q20" s="207"/>
      <c r="R20" s="208">
        <f>SUM(D20:M20)</f>
        <v>5</v>
      </c>
      <c r="S20" s="207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">
      <c r="B23" s="164"/>
      <c r="C23" s="164"/>
      <c r="D23" s="140" t="s">
        <v>26</v>
      </c>
      <c r="E23" s="194">
        <f>_xlfn.IFERROR(INDEX(C16:C20,MATCH(4,O16:O20,0)),"")</f>
      </c>
      <c r="F23" s="195"/>
      <c r="G23" s="195"/>
      <c r="H23" s="196"/>
      <c r="I23" s="166">
        <f>IF(grille!G31&lt;&gt;"",grille!G31,"")</f>
        <v>2</v>
      </c>
      <c r="J23" s="167"/>
      <c r="K23" s="43"/>
      <c r="L23" s="140" t="s">
        <v>25</v>
      </c>
      <c r="M23" s="194">
        <f>_xlfn.IFERROR(INDEX(C16:C20,MATCH(5,O16:O20,0)),"")</f>
      </c>
      <c r="N23" s="195"/>
      <c r="O23" s="195"/>
      <c r="P23" s="196"/>
      <c r="Q23" s="166">
        <f>IF(grille!G32&lt;&gt;"",grille!G32,"")</f>
        <v>4</v>
      </c>
      <c r="R23" s="138"/>
      <c r="S23" s="164"/>
      <c r="T23" s="164"/>
    </row>
    <row r="24" spans="2:20" ht="15.75" thickBot="1">
      <c r="B24" s="164"/>
      <c r="C24" s="164"/>
      <c r="D24" s="141" t="s">
        <v>23</v>
      </c>
      <c r="E24" s="197">
        <f>_xlfn.IFERROR(INDEX(C8:C12,MATCH(5,O8:O12,0)),"")</f>
      </c>
      <c r="F24" s="198"/>
      <c r="G24" s="198"/>
      <c r="H24" s="199"/>
      <c r="I24" s="169">
        <f>IF(grille!H31&lt;&gt;"",grille!H31,"")</f>
        <v>4</v>
      </c>
      <c r="J24" s="167"/>
      <c r="K24" s="43"/>
      <c r="L24" s="141" t="s">
        <v>24</v>
      </c>
      <c r="M24" s="197">
        <f>_xlfn.IFERROR(INDEX(C8:C12,MATCH(4,O8:O12,0)),"")</f>
      </c>
      <c r="N24" s="198"/>
      <c r="O24" s="198"/>
      <c r="P24" s="199"/>
      <c r="Q24" s="169">
        <f>IF(grille!H32&lt;&gt;"",grille!H32,"")</f>
        <v>1</v>
      </c>
      <c r="R24" s="138"/>
      <c r="S24" s="164"/>
      <c r="T24" s="164"/>
    </row>
    <row r="25" spans="2:22" ht="1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5.7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">
      <c r="B27" s="140" t="s">
        <v>14</v>
      </c>
      <c r="C27" s="170">
        <f>_xlfn.IFERROR(INDEX(C8:C12,MATCH(3,O8:O12,0)),"")</f>
      </c>
      <c r="D27" s="166">
        <f>IF(grille!G33&lt;&gt;"",grille!G33,"")</f>
        <v>0</v>
      </c>
      <c r="E27" s="43"/>
      <c r="F27" s="167"/>
      <c r="G27" s="140" t="s">
        <v>10</v>
      </c>
      <c r="H27" s="200">
        <f>_xlfn.IFERROR(INDEX(C8:C12,MATCH(1,O8:O12,0)),"")</f>
      </c>
      <c r="I27" s="201"/>
      <c r="J27" s="201"/>
      <c r="K27" s="202"/>
      <c r="L27" s="166">
        <f>IF(grille!G34&lt;&gt;"",grille!G34,"")</f>
        <v>2</v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5.75" thickBot="1">
      <c r="B28" s="141" t="s">
        <v>12</v>
      </c>
      <c r="C28" s="171">
        <f>_xlfn.IFERROR(INDEX(C16:C20,MATCH(2,O16:O20,0)),"")</f>
      </c>
      <c r="D28" s="169">
        <f>IF(grille!H33&lt;&gt;"",grille!H33,"")</f>
        <v>2</v>
      </c>
      <c r="E28" s="43"/>
      <c r="F28" s="167"/>
      <c r="G28" s="141" t="s">
        <v>111</v>
      </c>
      <c r="H28" s="203">
        <f>Gagnant(E23:I24)</f>
      </c>
      <c r="I28" s="204"/>
      <c r="J28" s="204"/>
      <c r="K28" s="205"/>
      <c r="L28" s="169">
        <f>IF(grille!H34&lt;&gt;"",grille!H34,"")</f>
        <v>1</v>
      </c>
      <c r="M28" s="138"/>
      <c r="N28" s="138"/>
      <c r="O28" s="164"/>
      <c r="P28" s="164"/>
      <c r="Q28" s="164"/>
      <c r="R28" s="164"/>
      <c r="S28" s="164"/>
      <c r="T28" s="164"/>
    </row>
    <row r="29" spans="2:20" ht="1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5.7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">
      <c r="B31" s="140" t="s">
        <v>11</v>
      </c>
      <c r="C31" s="170">
        <f>_xlfn.IFERROR(INDEX(C8:C12,MATCH(2,O8:O12,0)),"")</f>
      </c>
      <c r="D31" s="166">
        <f>IF(grille!G35&lt;&gt;"",grille!G35,"")</f>
        <v>3</v>
      </c>
      <c r="E31" s="138"/>
      <c r="F31" s="43"/>
      <c r="G31" s="140" t="s">
        <v>112</v>
      </c>
      <c r="H31" s="200">
        <f>Gagnant(M23:Q24)</f>
      </c>
      <c r="I31" s="201"/>
      <c r="J31" s="201"/>
      <c r="K31" s="202"/>
      <c r="L31" s="166">
        <f>IF(grille!G36&lt;&gt;"",grille!G36,"")</f>
        <v>1</v>
      </c>
      <c r="M31" s="138"/>
      <c r="N31" s="167"/>
      <c r="O31" s="138"/>
      <c r="P31" s="138"/>
      <c r="Q31" s="138"/>
      <c r="R31" s="138"/>
      <c r="S31" s="138"/>
      <c r="T31" s="164"/>
    </row>
    <row r="32" spans="2:20" ht="15.75" thickBot="1">
      <c r="B32" s="141" t="s">
        <v>15</v>
      </c>
      <c r="C32" s="171">
        <f>_xlfn.IFERROR(INDEX(C16:C20,MATCH(3,O16:O20,0)),"")</f>
      </c>
      <c r="D32" s="169">
        <f>IF(grille!H35&lt;&gt;"",grille!H35,"")</f>
        <v>0</v>
      </c>
      <c r="E32" s="138"/>
      <c r="F32" s="43"/>
      <c r="G32" s="141" t="s">
        <v>13</v>
      </c>
      <c r="H32" s="203">
        <f>_xlfn.IFERROR(INDEX(C16:C20,MATCH(1,O16:O20,0)),"")</f>
      </c>
      <c r="I32" s="204"/>
      <c r="J32" s="204"/>
      <c r="K32" s="205"/>
      <c r="L32" s="169">
        <f>IF(grille!H36&lt;&gt;"",grille!H36,"")</f>
        <v>2</v>
      </c>
      <c r="M32" s="138"/>
      <c r="N32" s="167"/>
      <c r="O32" s="164"/>
      <c r="P32" s="164"/>
      <c r="Q32" s="164"/>
      <c r="R32" s="164"/>
      <c r="S32" s="164"/>
      <c r="T32" s="164"/>
    </row>
    <row r="33" spans="2:20" ht="1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5.7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">
      <c r="B35" s="140" t="s">
        <v>113</v>
      </c>
      <c r="C35" s="172">
        <f>Perdant(C27:D28)</f>
      </c>
      <c r="D35" s="166">
        <f>IF(grille!G38&lt;&gt;"",grille!G38,"")</f>
        <v>2</v>
      </c>
      <c r="E35" s="43"/>
      <c r="F35" s="167"/>
      <c r="G35" s="140" t="s">
        <v>115</v>
      </c>
      <c r="H35" s="194">
        <f>Gagnant(C27:D28)</f>
      </c>
      <c r="I35" s="195"/>
      <c r="J35" s="195"/>
      <c r="K35" s="196"/>
      <c r="L35" s="166">
        <f>IF(grille!G39&lt;&gt;"",grille!G39,"")</f>
        <v>0</v>
      </c>
      <c r="M35" s="138"/>
      <c r="N35" s="138"/>
      <c r="O35" s="164"/>
      <c r="P35" s="164"/>
      <c r="Q35" s="164"/>
      <c r="R35" s="164"/>
      <c r="S35" s="164"/>
      <c r="T35" s="164"/>
    </row>
    <row r="36" spans="2:20" ht="15.75" thickBot="1">
      <c r="B36" s="141" t="s">
        <v>114</v>
      </c>
      <c r="C36" s="39">
        <f>Perdant(H27:L28)</f>
      </c>
      <c r="D36" s="169">
        <f>IF(grille!H38&lt;&gt;"",grille!H38,"")</f>
        <v>1</v>
      </c>
      <c r="E36" s="43"/>
      <c r="F36" s="167"/>
      <c r="G36" s="141" t="s">
        <v>116</v>
      </c>
      <c r="H36" s="197">
        <f>Gagnant(H27:L28)</f>
      </c>
      <c r="I36" s="198"/>
      <c r="J36" s="198"/>
      <c r="K36" s="199"/>
      <c r="L36" s="169">
        <f>IF(grille!H39&lt;&gt;"",grille!H39,"")</f>
        <v>1</v>
      </c>
      <c r="M36" s="138"/>
      <c r="N36" s="138"/>
      <c r="O36" s="164"/>
      <c r="P36" s="164"/>
      <c r="Q36" s="164"/>
      <c r="R36" s="164"/>
      <c r="S36" s="164"/>
      <c r="T36" s="164"/>
    </row>
    <row r="37" spans="2:20" ht="1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5.7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">
      <c r="B39" s="140" t="s">
        <v>117</v>
      </c>
      <c r="C39" s="165">
        <f>Perdant(C31:D32)</f>
      </c>
      <c r="D39" s="166">
        <f>IF(grille!G40&lt;&gt;"",grille!G40,"")</f>
        <v>0</v>
      </c>
      <c r="E39" s="167"/>
      <c r="F39" s="43"/>
      <c r="G39" s="140" t="s">
        <v>119</v>
      </c>
      <c r="H39" s="194">
        <f>Gagnant(C31:D32)</f>
      </c>
      <c r="I39" s="195"/>
      <c r="J39" s="195"/>
      <c r="K39" s="196"/>
      <c r="L39" s="166">
        <f>IF(grille!G41&lt;&gt;"",grille!G41,"")</f>
        <v>2</v>
      </c>
      <c r="M39" s="138"/>
      <c r="N39" s="164"/>
      <c r="O39" s="164"/>
      <c r="P39" s="164"/>
      <c r="Q39" s="164"/>
      <c r="R39" s="164"/>
      <c r="S39" s="164"/>
      <c r="T39" s="164"/>
    </row>
    <row r="40" spans="2:20" ht="15.75" thickBot="1">
      <c r="B40" s="141" t="s">
        <v>118</v>
      </c>
      <c r="C40" s="168">
        <f>Perdant(H31:L32)</f>
      </c>
      <c r="D40" s="169">
        <f>IF(grille!H40&lt;&gt;"",grille!H40,"")</f>
        <v>2</v>
      </c>
      <c r="E40" s="167"/>
      <c r="F40" s="43"/>
      <c r="G40" s="141" t="s">
        <v>120</v>
      </c>
      <c r="H40" s="197">
        <f>Gagnant(H31:L32)</f>
      </c>
      <c r="I40" s="198"/>
      <c r="J40" s="198"/>
      <c r="K40" s="199"/>
      <c r="L40" s="169">
        <f>IF(grille!H41&lt;&gt;"",grille!H41,"")</f>
        <v>3</v>
      </c>
      <c r="M40" s="138"/>
      <c r="N40" s="164"/>
      <c r="O40" s="164"/>
      <c r="P40" s="164"/>
      <c r="Q40" s="164"/>
      <c r="R40" s="164"/>
      <c r="S40" s="164"/>
      <c r="T40" s="164"/>
    </row>
    <row r="41" spans="2:22" ht="1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5.7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">
      <c r="B45" s="140" t="s">
        <v>121</v>
      </c>
      <c r="C45" s="165">
        <f>Perdant(M23:Q24)</f>
      </c>
      <c r="D45" s="166">
        <f>IF(grille!G42&lt;&gt;"",grille!G42,"")</f>
        <v>4</v>
      </c>
      <c r="E45" s="50"/>
      <c r="F45" s="43"/>
      <c r="G45" s="140" t="s">
        <v>123</v>
      </c>
      <c r="H45" s="194">
        <f>Perdant(C35:D36)</f>
      </c>
      <c r="I45" s="195"/>
      <c r="J45" s="195"/>
      <c r="K45" s="196"/>
      <c r="L45" s="166">
        <f>IF(grille!G43&lt;&gt;"",grille!G43,"")</f>
        <v>2</v>
      </c>
      <c r="M45" s="50"/>
      <c r="N45" s="176"/>
      <c r="O45" s="140" t="s">
        <v>125</v>
      </c>
      <c r="P45" s="194">
        <f>Gagnant(C35:D36)</f>
      </c>
      <c r="Q45" s="195"/>
      <c r="R45" s="195"/>
      <c r="S45" s="196"/>
      <c r="T45" s="166">
        <f>IF(grille!G44&lt;&gt;"",grille!G44,"")</f>
        <v>5</v>
      </c>
      <c r="U45" s="50"/>
      <c r="V45" s="20"/>
    </row>
    <row r="46" spans="2:22" ht="15.75" thickBot="1">
      <c r="B46" s="141" t="s">
        <v>122</v>
      </c>
      <c r="C46" s="168">
        <f>Perdant(E23:I24)</f>
      </c>
      <c r="D46" s="169">
        <f>IF(grille!H42&lt;&gt;"",grille!H42,"")</f>
        <v>2</v>
      </c>
      <c r="E46" s="50"/>
      <c r="F46" s="43"/>
      <c r="G46" s="141" t="s">
        <v>124</v>
      </c>
      <c r="H46" s="197">
        <f>Perdant(C39:D40)</f>
      </c>
      <c r="I46" s="198"/>
      <c r="J46" s="198"/>
      <c r="K46" s="199"/>
      <c r="L46" s="169">
        <f>IF(grille!H43&lt;&gt;"",grille!H43,"")</f>
        <v>0</v>
      </c>
      <c r="M46" s="50"/>
      <c r="N46" s="176"/>
      <c r="O46" s="141" t="s">
        <v>126</v>
      </c>
      <c r="P46" s="197">
        <f>Gagnant(C39:D40)</f>
      </c>
      <c r="Q46" s="198"/>
      <c r="R46" s="198"/>
      <c r="S46" s="199"/>
      <c r="T46" s="169">
        <f>IF(grille!H44&lt;&gt;"",grille!H44,"")</f>
        <v>0</v>
      </c>
      <c r="U46" s="50"/>
      <c r="V46" s="20"/>
    </row>
    <row r="47" spans="2:22" ht="1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5.7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">
      <c r="B49" s="167"/>
      <c r="C49" s="43"/>
      <c r="D49" s="140" t="s">
        <v>127</v>
      </c>
      <c r="E49" s="194">
        <f>Perdant(H35:L36)</f>
      </c>
      <c r="F49" s="195"/>
      <c r="G49" s="195"/>
      <c r="H49" s="196"/>
      <c r="I49" s="166">
        <f>IF(grille!G45&lt;&gt;"",grille!G45,"")</f>
        <v>1</v>
      </c>
      <c r="J49" s="50"/>
      <c r="K49" s="167"/>
      <c r="L49" s="140" t="s">
        <v>129</v>
      </c>
      <c r="M49" s="194">
        <f>Gagnant(H35:L36)</f>
      </c>
      <c r="N49" s="195"/>
      <c r="O49" s="195"/>
      <c r="P49" s="196"/>
      <c r="Q49" s="166">
        <f>IF(grille!G46&lt;&gt;"",grille!G46,"")</f>
        <v>2</v>
      </c>
      <c r="R49" s="50"/>
      <c r="S49" s="138"/>
      <c r="T49" s="164"/>
    </row>
    <row r="50" spans="2:20" ht="15.75" thickBot="1">
      <c r="B50" s="167"/>
      <c r="C50" s="43"/>
      <c r="D50" s="141" t="s">
        <v>128</v>
      </c>
      <c r="E50" s="197">
        <f>Perdant(H39:L40)</f>
      </c>
      <c r="F50" s="198"/>
      <c r="G50" s="198"/>
      <c r="H50" s="199"/>
      <c r="I50" s="169">
        <f>IF(grille!H45&lt;&gt;"",grille!H45,"")</f>
        <v>4</v>
      </c>
      <c r="J50" s="50"/>
      <c r="K50" s="167"/>
      <c r="L50" s="141" t="s">
        <v>130</v>
      </c>
      <c r="M50" s="197">
        <f>Gagnant(H39:L40)</f>
      </c>
      <c r="N50" s="198"/>
      <c r="O50" s="198"/>
      <c r="P50" s="199"/>
      <c r="Q50" s="169">
        <f>IF(grille!H46&lt;&gt;"",grille!H46,"")</f>
        <v>1</v>
      </c>
      <c r="R50" s="50"/>
      <c r="S50" s="138"/>
      <c r="T50" s="164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2">
    <mergeCell ref="J1:S1"/>
    <mergeCell ref="J2:S2"/>
    <mergeCell ref="L3:S3"/>
    <mergeCell ref="C4:H4"/>
    <mergeCell ref="I4:K4"/>
    <mergeCell ref="L4:T4"/>
    <mergeCell ref="B5:D5"/>
    <mergeCell ref="B6:D6"/>
    <mergeCell ref="P7:Q7"/>
    <mergeCell ref="R7:S7"/>
    <mergeCell ref="P8:Q8"/>
    <mergeCell ref="R8:S8"/>
    <mergeCell ref="P9:Q9"/>
    <mergeCell ref="R9:S9"/>
    <mergeCell ref="P10:Q10"/>
    <mergeCell ref="R10:S10"/>
    <mergeCell ref="P11:Q11"/>
    <mergeCell ref="R11:S11"/>
    <mergeCell ref="P12:Q12"/>
    <mergeCell ref="R12:S12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E23:H23"/>
    <mergeCell ref="M23:P23"/>
    <mergeCell ref="E24:H24"/>
    <mergeCell ref="M24:P24"/>
    <mergeCell ref="H27:K27"/>
    <mergeCell ref="H28:K28"/>
    <mergeCell ref="H31:K31"/>
    <mergeCell ref="H32:K32"/>
    <mergeCell ref="H35:K35"/>
    <mergeCell ref="H36:K36"/>
    <mergeCell ref="E49:H49"/>
    <mergeCell ref="M49:P49"/>
    <mergeCell ref="E50:H50"/>
    <mergeCell ref="M50:P50"/>
    <mergeCell ref="H39:K39"/>
    <mergeCell ref="H40:K40"/>
    <mergeCell ref="H45:K45"/>
    <mergeCell ref="P45:S45"/>
    <mergeCell ref="H46:K46"/>
    <mergeCell ref="P46:S46"/>
  </mergeCells>
  <conditionalFormatting sqref="P8:P15 Q9:Q15 P7:S7 R13:S15 R8:R12">
    <cfRule type="cellIs" priority="3" dxfId="0" operator="equal" stopIfTrue="1">
      <formula>0</formula>
    </cfRule>
  </conditionalFormatting>
  <conditionalFormatting sqref="N7:N20">
    <cfRule type="cellIs" priority="2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landscape" paperSize="9" r:id="rId2"/>
  <headerFooter alignWithMargins="0">
    <oddHeader xml:space="preserve">&amp;R&amp;"Arial,Gras"&amp;14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213</v>
      </c>
    </row>
    <row r="5" spans="1:3" ht="15">
      <c r="A5" s="64">
        <v>2</v>
      </c>
      <c r="B5" s="65" t="s">
        <v>33</v>
      </c>
      <c r="C5" s="96" t="s">
        <v>203</v>
      </c>
    </row>
    <row r="6" spans="1:3" ht="15">
      <c r="A6" s="64">
        <v>3</v>
      </c>
      <c r="B6" s="65" t="s">
        <v>34</v>
      </c>
      <c r="C6" s="96" t="s">
        <v>214</v>
      </c>
    </row>
    <row r="7" spans="1:3" ht="15">
      <c r="A7" s="64">
        <v>4</v>
      </c>
      <c r="B7" s="65" t="s">
        <v>35</v>
      </c>
      <c r="C7" s="96" t="s">
        <v>212</v>
      </c>
    </row>
    <row r="8" spans="1:3" s="70" customFormat="1" ht="30.75">
      <c r="A8" s="64">
        <v>5</v>
      </c>
      <c r="B8" s="69" t="s">
        <v>67</v>
      </c>
      <c r="C8" s="97" t="s">
        <v>65</v>
      </c>
    </row>
    <row r="9" ht="15">
      <c r="C9" s="98">
        <v>0.020833333333333332</v>
      </c>
    </row>
    <row r="10" spans="1:3" ht="30.75">
      <c r="A10" s="64">
        <v>6</v>
      </c>
      <c r="B10" s="65" t="s">
        <v>109</v>
      </c>
      <c r="C10" s="97" t="s">
        <v>68</v>
      </c>
    </row>
    <row r="11" spans="1:3" ht="15">
      <c r="A11" s="64"/>
      <c r="B11" s="65"/>
      <c r="C11" s="98">
        <v>0.02361111111111111</v>
      </c>
    </row>
    <row r="12" spans="1:3" ht="15">
      <c r="A12" s="64">
        <v>7</v>
      </c>
      <c r="B12" s="69" t="s">
        <v>157</v>
      </c>
      <c r="C12" s="153">
        <v>0.3958333333333333</v>
      </c>
    </row>
    <row r="13" spans="1:3" ht="15">
      <c r="A13" s="64">
        <v>8</v>
      </c>
      <c r="B13" s="69" t="s">
        <v>180</v>
      </c>
      <c r="C13" s="153">
        <v>0.3333333333333333</v>
      </c>
    </row>
    <row r="14" spans="1:3" ht="21" customHeight="1">
      <c r="A14" s="220" t="s">
        <v>71</v>
      </c>
      <c r="B14" s="220"/>
      <c r="C14" s="220"/>
    </row>
    <row r="15" spans="1:3" ht="15.75" thickBot="1">
      <c r="A15" s="66" t="s">
        <v>66</v>
      </c>
      <c r="B15" s="67"/>
      <c r="C15" s="152" t="s">
        <v>110</v>
      </c>
    </row>
    <row r="16" spans="1:3" ht="15">
      <c r="A16" s="143" t="s">
        <v>138</v>
      </c>
      <c r="B16" s="144" t="s">
        <v>207</v>
      </c>
      <c r="C16" s="145" t="s">
        <v>43</v>
      </c>
    </row>
    <row r="17" spans="1:3" ht="15">
      <c r="A17" s="146" t="s">
        <v>139</v>
      </c>
      <c r="B17" s="142" t="s">
        <v>209</v>
      </c>
      <c r="C17" s="147" t="s">
        <v>47</v>
      </c>
    </row>
    <row r="18" spans="1:3" ht="15">
      <c r="A18" s="148" t="s">
        <v>140</v>
      </c>
      <c r="B18" s="142" t="s">
        <v>206</v>
      </c>
      <c r="C18" s="147" t="s">
        <v>51</v>
      </c>
    </row>
    <row r="19" spans="1:3" ht="15">
      <c r="A19" s="148" t="s">
        <v>141</v>
      </c>
      <c r="B19" s="142" t="s">
        <v>205</v>
      </c>
      <c r="C19" s="147" t="s">
        <v>55</v>
      </c>
    </row>
    <row r="20" spans="1:3" ht="15" thickBot="1">
      <c r="A20" s="149" t="s">
        <v>142</v>
      </c>
      <c r="B20" s="150" t="s">
        <v>210</v>
      </c>
      <c r="C20" s="151" t="s">
        <v>58</v>
      </c>
    </row>
    <row r="22" ht="15.75" thickBot="1">
      <c r="A22" s="66" t="s">
        <v>20</v>
      </c>
    </row>
    <row r="23" spans="1:3" ht="15">
      <c r="A23" s="143" t="s">
        <v>143</v>
      </c>
      <c r="B23" s="144" t="s">
        <v>204</v>
      </c>
      <c r="C23" s="145" t="s">
        <v>45</v>
      </c>
    </row>
    <row r="24" spans="1:3" ht="15">
      <c r="A24" s="146" t="s">
        <v>144</v>
      </c>
      <c r="B24" s="142" t="s">
        <v>208</v>
      </c>
      <c r="C24" s="147" t="s">
        <v>49</v>
      </c>
    </row>
    <row r="25" spans="1:3" ht="15">
      <c r="A25" s="148" t="s">
        <v>145</v>
      </c>
      <c r="B25" s="142" t="s">
        <v>215</v>
      </c>
      <c r="C25" s="147" t="s">
        <v>53</v>
      </c>
    </row>
    <row r="26" spans="1:3" ht="15">
      <c r="A26" s="148" t="s">
        <v>146</v>
      </c>
      <c r="B26" s="142" t="s">
        <v>216</v>
      </c>
      <c r="C26" s="147" t="s">
        <v>56</v>
      </c>
    </row>
    <row r="27" spans="1:3" ht="15" thickBot="1">
      <c r="A27" s="149" t="s">
        <v>147</v>
      </c>
      <c r="B27" s="150" t="s">
        <v>211</v>
      </c>
      <c r="C27" s="151" t="s">
        <v>60</v>
      </c>
    </row>
    <row r="30" spans="1:4" ht="17.25">
      <c r="A30" s="221" t="s">
        <v>158</v>
      </c>
      <c r="B30" s="222"/>
      <c r="C30" s="223"/>
      <c r="D30" s="154" t="s">
        <v>179</v>
      </c>
    </row>
    <row r="31" spans="1:4" ht="15">
      <c r="A31" s="221" t="s">
        <v>159</v>
      </c>
      <c r="B31" s="222"/>
      <c r="C31" s="223"/>
      <c r="D31" s="155">
        <v>3</v>
      </c>
    </row>
    <row r="32" spans="1:4" ht="15">
      <c r="A32" s="156"/>
      <c r="B32" s="156" t="s">
        <v>160</v>
      </c>
      <c r="C32" s="156" t="s">
        <v>161</v>
      </c>
      <c r="D32" s="156" t="s">
        <v>72</v>
      </c>
    </row>
    <row r="33" spans="1:4" ht="15">
      <c r="A33" s="109">
        <v>1</v>
      </c>
      <c r="B33" s="157" t="s">
        <v>162</v>
      </c>
      <c r="C33" s="157" t="s">
        <v>163</v>
      </c>
      <c r="D33" s="157" t="s">
        <v>149</v>
      </c>
    </row>
    <row r="34" spans="1:4" ht="15">
      <c r="A34" s="109">
        <v>2</v>
      </c>
      <c r="B34" s="157" t="s">
        <v>164</v>
      </c>
      <c r="C34" s="157" t="s">
        <v>165</v>
      </c>
      <c r="D34" s="157" t="s">
        <v>148</v>
      </c>
    </row>
    <row r="35" spans="1:4" ht="15">
      <c r="A35" s="109">
        <v>3</v>
      </c>
      <c r="B35" s="157" t="s">
        <v>166</v>
      </c>
      <c r="C35" s="157" t="s">
        <v>167</v>
      </c>
      <c r="D35" s="157" t="s">
        <v>153</v>
      </c>
    </row>
    <row r="36" spans="1:4" ht="15">
      <c r="A36" s="109">
        <v>4</v>
      </c>
      <c r="B36" s="157" t="s">
        <v>168</v>
      </c>
      <c r="C36" s="157" t="s">
        <v>169</v>
      </c>
      <c r="D36" s="157" t="s">
        <v>154</v>
      </c>
    </row>
    <row r="37" spans="1:4" ht="15">
      <c r="A37" s="109">
        <v>5</v>
      </c>
      <c r="B37" s="157" t="s">
        <v>170</v>
      </c>
      <c r="C37" s="157" t="s">
        <v>171</v>
      </c>
      <c r="D37" s="157" t="s">
        <v>150</v>
      </c>
    </row>
    <row r="38" spans="1:4" ht="15">
      <c r="A38" s="109">
        <v>6</v>
      </c>
      <c r="B38" s="157" t="s">
        <v>172</v>
      </c>
      <c r="C38" s="157" t="s">
        <v>173</v>
      </c>
      <c r="D38" s="157" t="s">
        <v>155</v>
      </c>
    </row>
    <row r="39" spans="1:4" ht="15">
      <c r="A39" s="109">
        <v>7</v>
      </c>
      <c r="B39" s="157" t="s">
        <v>174</v>
      </c>
      <c r="C39" s="157" t="s">
        <v>175</v>
      </c>
      <c r="D39" s="157" t="s">
        <v>151</v>
      </c>
    </row>
    <row r="40" spans="1:4" ht="15">
      <c r="A40" s="109">
        <v>8</v>
      </c>
      <c r="B40" s="157" t="s">
        <v>176</v>
      </c>
      <c r="C40" s="157" t="s">
        <v>173</v>
      </c>
      <c r="D40" s="157" t="s">
        <v>156</v>
      </c>
    </row>
    <row r="41" spans="1:4" ht="15">
      <c r="A41" s="109">
        <v>9</v>
      </c>
      <c r="B41" s="157" t="s">
        <v>177</v>
      </c>
      <c r="C41" s="157" t="s">
        <v>178</v>
      </c>
      <c r="D41" s="157" t="s">
        <v>152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 password="9485" sheet="1"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zoomScaleSheetLayoutView="100" zoomScalePageLayoutView="0" workbookViewId="0" topLeftCell="A1">
      <selection activeCell="D2" sqref="D2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6" width="16.140625" style="0" customWidth="1"/>
    <col min="17" max="18" width="9.8515625" style="0" customWidth="1"/>
  </cols>
  <sheetData>
    <row r="1" spans="1:16" s="71" customFormat="1" ht="38.25" customHeight="1">
      <c r="A1" s="232"/>
      <c r="B1" s="233"/>
      <c r="F1" s="72"/>
      <c r="G1" s="218" t="s">
        <v>36</v>
      </c>
      <c r="H1" s="219"/>
      <c r="I1" s="211" t="str">
        <f>saison</f>
        <v>2021-2022</v>
      </c>
      <c r="J1" s="212"/>
      <c r="K1" s="212"/>
      <c r="L1" s="212"/>
      <c r="M1" s="212"/>
      <c r="N1" s="212"/>
      <c r="O1" s="213"/>
      <c r="P1" s="105"/>
    </row>
    <row r="2" spans="1:16" s="71" customFormat="1" ht="26.25" customHeight="1">
      <c r="A2" s="233"/>
      <c r="B2" s="233"/>
      <c r="F2" s="72"/>
      <c r="G2" s="218" t="s">
        <v>37</v>
      </c>
      <c r="H2" s="219"/>
      <c r="I2" s="211" t="str">
        <f>lieu</f>
        <v>Sarcelles</v>
      </c>
      <c r="J2" s="212"/>
      <c r="K2" s="212"/>
      <c r="L2" s="212"/>
      <c r="M2" s="212"/>
      <c r="N2" s="212"/>
      <c r="O2" s="213"/>
      <c r="P2" s="105"/>
    </row>
    <row r="3" spans="10:15" s="73" customFormat="1" ht="21" customHeight="1">
      <c r="J3" s="217" t="s">
        <v>70</v>
      </c>
      <c r="K3" s="217"/>
      <c r="L3" s="217"/>
      <c r="M3" s="217"/>
      <c r="N3" s="217"/>
      <c r="O3" s="217"/>
    </row>
    <row r="4" spans="1:15" s="73" customFormat="1" ht="24.75" customHeight="1">
      <c r="A4" s="54" t="s">
        <v>38</v>
      </c>
      <c r="B4" s="211" t="str">
        <f>date</f>
        <v>13 et 14 novembre 2021</v>
      </c>
      <c r="C4" s="212"/>
      <c r="D4" s="212"/>
      <c r="E4" s="212"/>
      <c r="F4" s="213"/>
      <c r="G4" s="79"/>
      <c r="H4" s="54" t="s">
        <v>39</v>
      </c>
      <c r="I4" s="104"/>
      <c r="K4" s="211" t="str">
        <f>catégorie</f>
        <v>D1 Masculine</v>
      </c>
      <c r="L4" s="212"/>
      <c r="M4" s="212"/>
      <c r="N4" s="212"/>
      <c r="O4" s="213"/>
    </row>
    <row r="5" spans="1:24" s="95" customFormat="1" ht="12.75" customHeight="1">
      <c r="A5" s="93"/>
      <c r="B5" s="210" t="s">
        <v>69</v>
      </c>
      <c r="C5" s="210"/>
      <c r="D5" s="210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210" t="s">
        <v>137</v>
      </c>
      <c r="C6" s="210"/>
      <c r="D6" s="210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27" t="s">
        <v>5</v>
      </c>
      <c r="N7" s="228"/>
      <c r="O7" s="229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24" t="s">
        <v>79</v>
      </c>
      <c r="Q8" s="225"/>
      <c r="R8" s="226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Rennes</v>
      </c>
      <c r="E9" s="92">
        <v>1</v>
      </c>
      <c r="F9" s="16"/>
      <c r="G9" s="29">
        <v>2</v>
      </c>
      <c r="H9" s="29">
        <v>1</v>
      </c>
      <c r="I9" s="16"/>
      <c r="J9" s="92">
        <v>3</v>
      </c>
      <c r="K9" s="188" t="str">
        <f>PA3</f>
        <v>Dinan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88" t="str">
        <f>PB2</f>
        <v>Fontenay</v>
      </c>
      <c r="E10" s="92">
        <v>2</v>
      </c>
      <c r="F10" s="16">
        <v>2</v>
      </c>
      <c r="G10" s="29">
        <v>0</v>
      </c>
      <c r="H10" s="29">
        <v>2</v>
      </c>
      <c r="I10" s="16"/>
      <c r="J10" s="92">
        <v>4</v>
      </c>
      <c r="K10" s="188" t="str">
        <f>PB4</f>
        <v>Moirans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Franconville</v>
      </c>
      <c r="E11" s="92">
        <v>5</v>
      </c>
      <c r="F11" s="16">
        <v>4</v>
      </c>
      <c r="G11" s="29">
        <v>2</v>
      </c>
      <c r="H11" s="29">
        <v>3</v>
      </c>
      <c r="I11" s="16"/>
      <c r="J11" s="92">
        <v>7</v>
      </c>
      <c r="K11" s="188" t="str">
        <f>PA7</f>
        <v>Pontoise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Saintes</v>
      </c>
      <c r="E12" s="92">
        <v>6</v>
      </c>
      <c r="F12" s="16"/>
      <c r="G12" s="29">
        <v>4</v>
      </c>
      <c r="H12" s="29">
        <v>3</v>
      </c>
      <c r="I12" s="16"/>
      <c r="J12" s="92">
        <v>8</v>
      </c>
      <c r="K12" s="188" t="str">
        <f>PB8</f>
        <v>Diderot XII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Dinan</v>
      </c>
      <c r="E13" s="92">
        <v>3</v>
      </c>
      <c r="F13" s="16"/>
      <c r="G13" s="29">
        <v>4</v>
      </c>
      <c r="H13" s="29">
        <v>1</v>
      </c>
      <c r="I13" s="16"/>
      <c r="J13" s="92">
        <v>9</v>
      </c>
      <c r="K13" s="188" t="str">
        <f>PA9</f>
        <v>PESSAC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Moirans</v>
      </c>
      <c r="E14" s="92">
        <v>4</v>
      </c>
      <c r="F14" s="16"/>
      <c r="G14" s="29">
        <v>5</v>
      </c>
      <c r="H14" s="29">
        <v>0</v>
      </c>
      <c r="I14" s="16"/>
      <c r="J14" s="92">
        <v>10</v>
      </c>
      <c r="K14" s="188" t="str">
        <f>PB10</f>
        <v>Le Chesnay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Rennes</v>
      </c>
      <c r="E15" s="92">
        <v>1</v>
      </c>
      <c r="F15" s="16"/>
      <c r="G15" s="29">
        <v>4</v>
      </c>
      <c r="H15" s="29">
        <v>0</v>
      </c>
      <c r="I15" s="16"/>
      <c r="J15" s="92">
        <v>5</v>
      </c>
      <c r="K15" s="188" t="str">
        <f>PA5</f>
        <v>Franconville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Fontenay</v>
      </c>
      <c r="E16" s="92">
        <v>2</v>
      </c>
      <c r="F16" s="16"/>
      <c r="G16" s="29">
        <v>2</v>
      </c>
      <c r="H16" s="29">
        <v>1</v>
      </c>
      <c r="I16" s="16"/>
      <c r="J16" s="92">
        <v>6</v>
      </c>
      <c r="K16" s="188" t="str">
        <f>PB6</f>
        <v>Saintes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Pontoise</v>
      </c>
      <c r="E17" s="92">
        <v>7</v>
      </c>
      <c r="F17" s="16"/>
      <c r="G17" s="29">
        <v>4</v>
      </c>
      <c r="H17" s="29">
        <v>0</v>
      </c>
      <c r="I17" s="16"/>
      <c r="J17" s="92">
        <v>9</v>
      </c>
      <c r="K17" s="188" t="str">
        <f>PA9</f>
        <v>PESSAC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Diderot XII</v>
      </c>
      <c r="E18" s="92">
        <v>8</v>
      </c>
      <c r="F18" s="16"/>
      <c r="G18" s="29">
        <v>1</v>
      </c>
      <c r="H18" s="29">
        <v>2</v>
      </c>
      <c r="I18" s="16"/>
      <c r="J18" s="92">
        <v>10</v>
      </c>
      <c r="K18" s="188" t="str">
        <f>PB10</f>
        <v>Le Chesnay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 t="shared" si="0"/>
        <v>0.6041666666666667</v>
      </c>
      <c r="C19" s="230" t="s">
        <v>27</v>
      </c>
      <c r="D19" s="231"/>
      <c r="E19" s="231"/>
      <c r="F19" s="231"/>
      <c r="G19" s="231"/>
      <c r="H19" s="231"/>
      <c r="I19" s="231"/>
      <c r="J19" s="231"/>
      <c r="K19" s="231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88" t="str">
        <f>PA3</f>
        <v>Dinan</v>
      </c>
      <c r="E20" s="92">
        <v>3</v>
      </c>
      <c r="F20" s="16"/>
      <c r="G20" s="29">
        <v>4</v>
      </c>
      <c r="H20" s="29">
        <v>1</v>
      </c>
      <c r="I20" s="16"/>
      <c r="J20" s="92">
        <v>5</v>
      </c>
      <c r="K20" s="188" t="str">
        <f>PA5</f>
        <v>Franconville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88" t="str">
        <f>PB4</f>
        <v>Moirans</v>
      </c>
      <c r="E21" s="92">
        <v>4</v>
      </c>
      <c r="F21" s="16"/>
      <c r="G21" s="29">
        <v>7</v>
      </c>
      <c r="H21" s="29">
        <v>0</v>
      </c>
      <c r="I21" s="16"/>
      <c r="J21" s="92">
        <v>6</v>
      </c>
      <c r="K21" s="188" t="str">
        <f>PB6</f>
        <v>Saintes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88" t="str">
        <f>PA1</f>
        <v>Rennes</v>
      </c>
      <c r="E22" s="92">
        <v>1</v>
      </c>
      <c r="F22" s="16"/>
      <c r="G22" s="29">
        <v>3</v>
      </c>
      <c r="H22" s="29">
        <v>3</v>
      </c>
      <c r="I22" s="16"/>
      <c r="J22" s="92">
        <v>7</v>
      </c>
      <c r="K22" s="188" t="str">
        <f>PA7</f>
        <v>Pontoise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88" t="str">
        <f>PB2</f>
        <v>Fontenay</v>
      </c>
      <c r="E23" s="92">
        <v>2</v>
      </c>
      <c r="F23" s="16"/>
      <c r="G23" s="29">
        <v>3</v>
      </c>
      <c r="H23" s="29">
        <v>2</v>
      </c>
      <c r="I23" s="16"/>
      <c r="J23" s="92">
        <v>8</v>
      </c>
      <c r="K23" s="188" t="str">
        <f>PB8</f>
        <v>Diderot XII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88" t="str">
        <f>PA5</f>
        <v>Franconville</v>
      </c>
      <c r="E24" s="92">
        <v>5</v>
      </c>
      <c r="F24" s="16"/>
      <c r="G24" s="29">
        <v>1</v>
      </c>
      <c r="H24" s="29">
        <v>2</v>
      </c>
      <c r="I24" s="16"/>
      <c r="J24" s="92">
        <v>9</v>
      </c>
      <c r="K24" s="188" t="str">
        <f>PA9</f>
        <v>PESSAC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88" t="str">
        <f>PB6</f>
        <v>Saintes</v>
      </c>
      <c r="E25" s="92">
        <v>6</v>
      </c>
      <c r="F25" s="16"/>
      <c r="G25" s="29">
        <v>2</v>
      </c>
      <c r="H25" s="29">
        <v>2</v>
      </c>
      <c r="I25" s="16"/>
      <c r="J25" s="92">
        <v>10</v>
      </c>
      <c r="K25" s="188" t="str">
        <f>PB10</f>
        <v>Le Chesnay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88" t="str">
        <f>PA3</f>
        <v>Dinan</v>
      </c>
      <c r="E26" s="92">
        <v>3</v>
      </c>
      <c r="F26" s="16"/>
      <c r="G26" s="29">
        <v>2</v>
      </c>
      <c r="H26" s="29">
        <v>1</v>
      </c>
      <c r="I26" s="16"/>
      <c r="J26" s="92">
        <v>7</v>
      </c>
      <c r="K26" s="188" t="str">
        <f>PA7</f>
        <v>Pontoise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88" t="str">
        <f>PB4</f>
        <v>Moirans</v>
      </c>
      <c r="E27" s="92">
        <v>4</v>
      </c>
      <c r="F27" s="16"/>
      <c r="G27" s="29">
        <v>6</v>
      </c>
      <c r="H27" s="29">
        <v>0</v>
      </c>
      <c r="I27" s="16"/>
      <c r="J27" s="92">
        <v>8</v>
      </c>
      <c r="K27" s="188" t="str">
        <f>PB8</f>
        <v>Diderot XII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88" t="str">
        <f>PA1</f>
        <v>Rennes</v>
      </c>
      <c r="E28" s="92">
        <v>1</v>
      </c>
      <c r="F28" s="16"/>
      <c r="G28" s="29">
        <v>9</v>
      </c>
      <c r="H28" s="29">
        <v>0</v>
      </c>
      <c r="I28" s="16"/>
      <c r="J28" s="92">
        <v>9</v>
      </c>
      <c r="K28" s="188" t="str">
        <f>PA9</f>
        <v>PESSAC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88" t="str">
        <f>PB2</f>
        <v>Fontenay</v>
      </c>
      <c r="E29" s="92">
        <v>2</v>
      </c>
      <c r="F29" s="16"/>
      <c r="G29" s="29">
        <v>2</v>
      </c>
      <c r="H29" s="29">
        <v>1</v>
      </c>
      <c r="I29" s="16"/>
      <c r="J29" s="92">
        <v>10</v>
      </c>
      <c r="K29" s="188" t="str">
        <f>PB10</f>
        <v>Le Chesnay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>B29+durée1</f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 t="str">
        <f>P4B</f>
        <v>Saintes</v>
      </c>
      <c r="E31" s="19" t="s">
        <v>26</v>
      </c>
      <c r="F31" s="16"/>
      <c r="G31" s="29">
        <v>2</v>
      </c>
      <c r="H31" s="29">
        <v>4</v>
      </c>
      <c r="I31" s="16"/>
      <c r="J31" s="19" t="s">
        <v>23</v>
      </c>
      <c r="K31" s="188" t="str">
        <f>P5A</f>
        <v>Franconville</v>
      </c>
      <c r="L31" s="16"/>
      <c r="M31" s="182" t="s">
        <v>244</v>
      </c>
      <c r="N31" s="181" t="s">
        <v>245</v>
      </c>
      <c r="O31" s="181" t="s">
        <v>246</v>
      </c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 aca="true" t="shared" si="1" ref="B32:B45">B31+durée2</f>
        <v>0.3569444444444444</v>
      </c>
      <c r="C32" s="19">
        <f>C31+1</f>
        <v>22</v>
      </c>
      <c r="D32" s="188" t="str">
        <f>P5B</f>
        <v>Diderot XII</v>
      </c>
      <c r="E32" s="19" t="s">
        <v>25</v>
      </c>
      <c r="F32" s="16"/>
      <c r="G32" s="29">
        <v>4</v>
      </c>
      <c r="H32" s="29">
        <v>1</v>
      </c>
      <c r="I32" s="16"/>
      <c r="J32" s="19" t="s">
        <v>24</v>
      </c>
      <c r="K32" s="188" t="str">
        <f>P4A</f>
        <v>PESSAC</v>
      </c>
      <c r="L32" s="16"/>
      <c r="M32" s="182" t="s">
        <v>247</v>
      </c>
      <c r="N32" s="181" t="s">
        <v>248</v>
      </c>
      <c r="O32" s="181" t="s">
        <v>249</v>
      </c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88" t="str">
        <f>P3A</f>
        <v>Pontoise</v>
      </c>
      <c r="E33" s="19" t="s">
        <v>14</v>
      </c>
      <c r="F33" s="16"/>
      <c r="G33" s="29">
        <v>0</v>
      </c>
      <c r="H33" s="29">
        <v>2</v>
      </c>
      <c r="I33" s="16"/>
      <c r="J33" s="19" t="s">
        <v>12</v>
      </c>
      <c r="K33" s="188" t="str">
        <f>P2B</f>
        <v>Fontenay</v>
      </c>
      <c r="L33" s="16"/>
      <c r="M33" s="182" t="s">
        <v>250</v>
      </c>
      <c r="N33" s="181" t="s">
        <v>251</v>
      </c>
      <c r="O33" s="180" t="s">
        <v>252</v>
      </c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88" t="str">
        <f>P1A</f>
        <v>Rennes</v>
      </c>
      <c r="E34" s="19" t="s">
        <v>10</v>
      </c>
      <c r="F34" s="16"/>
      <c r="G34" s="29">
        <v>2</v>
      </c>
      <c r="H34" s="29">
        <v>1</v>
      </c>
      <c r="I34" s="16"/>
      <c r="J34" s="19" t="s">
        <v>111</v>
      </c>
      <c r="K34" s="188" t="str">
        <f>IF(poules!H28="","",poules!H28)</f>
        <v>Franconville</v>
      </c>
      <c r="L34" s="16"/>
      <c r="M34" s="182" t="s">
        <v>249</v>
      </c>
      <c r="N34" s="181" t="s">
        <v>248</v>
      </c>
      <c r="O34" s="180" t="s">
        <v>246</v>
      </c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88" t="str">
        <f>P2A</f>
        <v>Dinan</v>
      </c>
      <c r="E35" s="19" t="s">
        <v>11</v>
      </c>
      <c r="F35" s="16"/>
      <c r="G35" s="29">
        <v>3</v>
      </c>
      <c r="H35" s="29">
        <v>0</v>
      </c>
      <c r="I35" s="16"/>
      <c r="J35" s="19" t="s">
        <v>15</v>
      </c>
      <c r="K35" s="188" t="str">
        <f>P3B</f>
        <v>Le Chesnay</v>
      </c>
      <c r="L35" s="16"/>
      <c r="M35" s="182" t="s">
        <v>251</v>
      </c>
      <c r="N35" s="181" t="s">
        <v>247</v>
      </c>
      <c r="O35" s="180" t="s">
        <v>252</v>
      </c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88" t="str">
        <f>IF(poules!H31="","",poules!H31)</f>
        <v>Diderot XII</v>
      </c>
      <c r="E36" s="19" t="s">
        <v>112</v>
      </c>
      <c r="F36" s="16"/>
      <c r="G36" s="29">
        <v>1</v>
      </c>
      <c r="H36" s="29">
        <v>2</v>
      </c>
      <c r="I36" s="16"/>
      <c r="J36" s="32" t="s">
        <v>13</v>
      </c>
      <c r="K36" s="188" t="str">
        <f>P1B</f>
        <v>Moirans</v>
      </c>
      <c r="L36" s="16"/>
      <c r="M36" s="182" t="s">
        <v>244</v>
      </c>
      <c r="N36" s="181" t="s">
        <v>245</v>
      </c>
      <c r="O36" s="180" t="s">
        <v>250</v>
      </c>
    </row>
    <row r="37" spans="1:18" s="10" customFormat="1" ht="16.5" customHeight="1" thickBot="1" thickTop="1">
      <c r="A37" s="59" t="s">
        <v>29</v>
      </c>
      <c r="B37" s="52">
        <f t="shared" si="1"/>
        <v>0.4750000000000001</v>
      </c>
      <c r="C37" s="230" t="s">
        <v>27</v>
      </c>
      <c r="D37" s="231"/>
      <c r="E37" s="231"/>
      <c r="F37" s="231"/>
      <c r="G37" s="231"/>
      <c r="H37" s="231"/>
      <c r="I37" s="231"/>
      <c r="J37" s="231"/>
      <c r="K37" s="231"/>
      <c r="L37" s="177"/>
      <c r="M37" s="185"/>
      <c r="N37" s="185"/>
      <c r="O37" s="185"/>
      <c r="P37" s="177"/>
      <c r="Q37" s="177"/>
      <c r="R37" s="177"/>
    </row>
    <row r="38" spans="1:16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88" t="str">
        <f>poules!C35</f>
        <v>Pontoise</v>
      </c>
      <c r="E38" s="19" t="s">
        <v>113</v>
      </c>
      <c r="F38" s="16"/>
      <c r="G38" s="29">
        <v>2</v>
      </c>
      <c r="H38" s="29">
        <v>1</v>
      </c>
      <c r="I38" s="16"/>
      <c r="J38" s="32" t="s">
        <v>114</v>
      </c>
      <c r="K38" s="188" t="str">
        <f>poules!C36</f>
        <v>Franconville</v>
      </c>
      <c r="L38" s="16"/>
      <c r="M38" s="182" t="s">
        <v>249</v>
      </c>
      <c r="N38" s="181" t="s">
        <v>248</v>
      </c>
      <c r="O38" s="180" t="s">
        <v>247</v>
      </c>
      <c r="P38" s="10" t="s">
        <v>246</v>
      </c>
    </row>
    <row r="39" spans="1:18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88" t="str">
        <f>poules!H35</f>
        <v>Fontenay</v>
      </c>
      <c r="E39" s="19" t="s">
        <v>115</v>
      </c>
      <c r="F39" s="16"/>
      <c r="G39" s="29">
        <v>0</v>
      </c>
      <c r="H39" s="29">
        <v>1</v>
      </c>
      <c r="I39" s="16"/>
      <c r="J39" s="31" t="s">
        <v>116</v>
      </c>
      <c r="K39" s="188" t="str">
        <f>poules!H36</f>
        <v>Rennes</v>
      </c>
      <c r="L39" s="16"/>
      <c r="M39" s="182" t="s">
        <v>252</v>
      </c>
      <c r="N39" s="181" t="s">
        <v>250</v>
      </c>
      <c r="O39" s="180" t="s">
        <v>245</v>
      </c>
      <c r="P39" s="128" t="s">
        <v>249</v>
      </c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88" t="str">
        <f>poules!C39</f>
        <v>Le Chesnay</v>
      </c>
      <c r="E40" s="19" t="s">
        <v>117</v>
      </c>
      <c r="F40" s="16"/>
      <c r="G40" s="29">
        <v>0</v>
      </c>
      <c r="H40" s="29">
        <v>2</v>
      </c>
      <c r="I40" s="16"/>
      <c r="J40" s="31" t="s">
        <v>118</v>
      </c>
      <c r="K40" s="188" t="str">
        <f>poules!C40</f>
        <v>Diderot XII</v>
      </c>
      <c r="L40" s="16"/>
      <c r="M40" s="182" t="s">
        <v>246</v>
      </c>
      <c r="N40" s="181" t="s">
        <v>244</v>
      </c>
      <c r="O40" s="180" t="s">
        <v>251</v>
      </c>
      <c r="P40" s="128" t="s">
        <v>244</v>
      </c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88" t="str">
        <f>poules!H39</f>
        <v>Dinan</v>
      </c>
      <c r="E41" s="31" t="s">
        <v>119</v>
      </c>
      <c r="F41" s="16"/>
      <c r="G41" s="29">
        <v>2</v>
      </c>
      <c r="H41" s="29">
        <v>3</v>
      </c>
      <c r="I41" s="16"/>
      <c r="J41" s="31" t="s">
        <v>120</v>
      </c>
      <c r="K41" s="188" t="str">
        <f>poules!H40</f>
        <v>Moirans</v>
      </c>
      <c r="L41" s="16"/>
      <c r="M41" s="179" t="s">
        <v>248</v>
      </c>
      <c r="N41" s="187" t="s">
        <v>247</v>
      </c>
      <c r="O41" s="187" t="s">
        <v>249</v>
      </c>
      <c r="P41" s="128" t="s">
        <v>245</v>
      </c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88" t="str">
        <f>poules!C45</f>
        <v>PESSAC</v>
      </c>
      <c r="E42" s="31" t="s">
        <v>121</v>
      </c>
      <c r="F42" s="16"/>
      <c r="G42" s="29">
        <v>4</v>
      </c>
      <c r="H42" s="29">
        <v>2</v>
      </c>
      <c r="I42" s="16"/>
      <c r="J42" s="31" t="s">
        <v>122</v>
      </c>
      <c r="K42" s="188" t="str">
        <f>poules!C46</f>
        <v>Saintes</v>
      </c>
      <c r="L42" s="16"/>
      <c r="M42" s="179" t="s">
        <v>252</v>
      </c>
      <c r="N42" s="187" t="s">
        <v>251</v>
      </c>
      <c r="O42" s="184" t="s">
        <v>244</v>
      </c>
      <c r="P42" s="128" t="s">
        <v>248</v>
      </c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88" t="str">
        <f>poules!H45</f>
        <v>Franconville</v>
      </c>
      <c r="E43" s="31" t="s">
        <v>123</v>
      </c>
      <c r="F43" s="16"/>
      <c r="G43" s="29">
        <v>2</v>
      </c>
      <c r="H43" s="29">
        <v>0</v>
      </c>
      <c r="I43" s="16"/>
      <c r="J43" s="31" t="s">
        <v>124</v>
      </c>
      <c r="K43" s="188" t="str">
        <f>poules!H46</f>
        <v>Le Chesnay</v>
      </c>
      <c r="L43" s="16"/>
      <c r="M43" s="179" t="s">
        <v>245</v>
      </c>
      <c r="N43" s="187" t="s">
        <v>246</v>
      </c>
      <c r="O43" s="187" t="s">
        <v>250</v>
      </c>
      <c r="P43" s="128" t="s">
        <v>252</v>
      </c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88" t="str">
        <f>poules!P45</f>
        <v>Pontoise</v>
      </c>
      <c r="E44" s="31" t="s">
        <v>125</v>
      </c>
      <c r="F44" s="16"/>
      <c r="G44" s="29">
        <v>5</v>
      </c>
      <c r="H44" s="29">
        <v>0</v>
      </c>
      <c r="I44" s="16"/>
      <c r="J44" s="31" t="s">
        <v>126</v>
      </c>
      <c r="K44" s="188" t="str">
        <f>poules!P46</f>
        <v>Diderot XII</v>
      </c>
      <c r="L44" s="16"/>
      <c r="M44" s="179" t="s">
        <v>248</v>
      </c>
      <c r="N44" s="187" t="s">
        <v>244</v>
      </c>
      <c r="O44" s="184" t="s">
        <v>252</v>
      </c>
      <c r="P44" s="128" t="s">
        <v>250</v>
      </c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88" t="str">
        <f>poules!E49</f>
        <v>Fontenay</v>
      </c>
      <c r="E45" s="31" t="s">
        <v>127</v>
      </c>
      <c r="F45" s="16"/>
      <c r="G45" s="29">
        <v>1</v>
      </c>
      <c r="H45" s="29">
        <v>4</v>
      </c>
      <c r="I45" s="16"/>
      <c r="J45" s="31" t="s">
        <v>128</v>
      </c>
      <c r="K45" s="188" t="str">
        <f>poules!E50</f>
        <v>Dinan</v>
      </c>
      <c r="L45" s="16"/>
      <c r="M45" s="179" t="s">
        <v>245</v>
      </c>
      <c r="N45" s="187" t="s">
        <v>249</v>
      </c>
      <c r="O45" s="187" t="s">
        <v>251</v>
      </c>
      <c r="P45" s="128" t="s">
        <v>247</v>
      </c>
      <c r="Q45" s="129"/>
      <c r="R45" s="130"/>
    </row>
    <row r="46" spans="1:18" s="10" customFormat="1" ht="16.5" customHeight="1" thickBot="1" thickTop="1">
      <c r="A46" s="59" t="s">
        <v>29</v>
      </c>
      <c r="B46" s="52">
        <f>B45+durée2</f>
        <v>0.6875000000000003</v>
      </c>
      <c r="C46" s="19">
        <f t="shared" si="2"/>
        <v>35</v>
      </c>
      <c r="D46" s="188" t="str">
        <f>poules!M49</f>
        <v>Rennes</v>
      </c>
      <c r="E46" s="31" t="s">
        <v>129</v>
      </c>
      <c r="F46" s="16"/>
      <c r="G46" s="29">
        <v>2</v>
      </c>
      <c r="H46" s="29">
        <v>1</v>
      </c>
      <c r="I46" s="16"/>
      <c r="J46" s="31" t="s">
        <v>130</v>
      </c>
      <c r="K46" s="188" t="str">
        <f>poules!M50</f>
        <v>Moirans</v>
      </c>
      <c r="L46" s="16"/>
      <c r="M46" s="179" t="s">
        <v>246</v>
      </c>
      <c r="N46" s="187" t="s">
        <v>247</v>
      </c>
      <c r="O46" s="187" t="s">
        <v>250</v>
      </c>
      <c r="P46" s="128" t="s">
        <v>251</v>
      </c>
      <c r="Q46" s="129"/>
      <c r="R46" s="130"/>
    </row>
    <row r="47" spans="1:15" s="10" customFormat="1" ht="15" thickBot="1" thickTop="1">
      <c r="A47" s="59" t="s">
        <v>29</v>
      </c>
      <c r="B47" s="52">
        <f>B46+durée2</f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4">
    <mergeCell ref="C37:K37"/>
    <mergeCell ref="B5:D5"/>
    <mergeCell ref="B4:F4"/>
    <mergeCell ref="K4:O4"/>
    <mergeCell ref="I1:O1"/>
    <mergeCell ref="I2:O2"/>
    <mergeCell ref="J3:O3"/>
    <mergeCell ref="P8:R8"/>
    <mergeCell ref="B6:D6"/>
    <mergeCell ref="G1:H1"/>
    <mergeCell ref="M7:O7"/>
    <mergeCell ref="G2:H2"/>
    <mergeCell ref="C19:K19"/>
    <mergeCell ref="A1:B2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E11" sqref="E11"/>
    </sheetView>
  </sheetViews>
  <sheetFormatPr defaultColWidth="11.421875" defaultRowHeight="12.75"/>
  <cols>
    <col min="1" max="1" width="23.7109375" style="0" customWidth="1"/>
    <col min="2" max="2" width="14.28125" style="0" customWidth="1"/>
    <col min="3" max="3" width="17.7109375" style="0" customWidth="1"/>
  </cols>
  <sheetData>
    <row r="1" spans="1:4" ht="12.75">
      <c r="A1" s="234" t="s">
        <v>237</v>
      </c>
      <c r="B1" s="234"/>
      <c r="C1" s="234"/>
      <c r="D1" s="234"/>
    </row>
    <row r="5" ht="12.75">
      <c r="A5" t="s">
        <v>231</v>
      </c>
    </row>
    <row r="6" spans="1:4" ht="14.25">
      <c r="A6" s="190" t="s">
        <v>160</v>
      </c>
      <c r="B6" s="190" t="s">
        <v>161</v>
      </c>
      <c r="C6" s="190" t="s">
        <v>72</v>
      </c>
      <c r="D6" s="190" t="s">
        <v>217</v>
      </c>
    </row>
    <row r="7" spans="1:4" ht="28.5" customHeight="1">
      <c r="A7" s="191" t="s">
        <v>218</v>
      </c>
      <c r="B7" s="191" t="s">
        <v>219</v>
      </c>
      <c r="C7" s="191" t="s">
        <v>220</v>
      </c>
      <c r="D7" s="192">
        <v>8</v>
      </c>
    </row>
    <row r="8" spans="1:4" ht="14.25">
      <c r="A8" s="191" t="s">
        <v>240</v>
      </c>
      <c r="B8" s="191" t="s">
        <v>241</v>
      </c>
      <c r="C8" s="191" t="s">
        <v>223</v>
      </c>
      <c r="D8" s="192">
        <v>6</v>
      </c>
    </row>
    <row r="9" spans="1:4" ht="14.25">
      <c r="A9" s="191" t="s">
        <v>242</v>
      </c>
      <c r="B9" s="191" t="s">
        <v>243</v>
      </c>
      <c r="C9" s="191" t="s">
        <v>234</v>
      </c>
      <c r="D9" s="192">
        <v>5</v>
      </c>
    </row>
    <row r="10" spans="1:4" ht="14.25">
      <c r="A10" s="191" t="s">
        <v>224</v>
      </c>
      <c r="B10" s="191" t="s">
        <v>225</v>
      </c>
      <c r="C10" s="191" t="s">
        <v>223</v>
      </c>
      <c r="D10" s="192">
        <v>5</v>
      </c>
    </row>
    <row r="11" spans="1:4" ht="14.25">
      <c r="A11" s="191" t="s">
        <v>227</v>
      </c>
      <c r="B11" s="191" t="s">
        <v>228</v>
      </c>
      <c r="C11" s="191" t="s">
        <v>229</v>
      </c>
      <c r="D11" s="192">
        <v>4</v>
      </c>
    </row>
    <row r="12" spans="1:4" ht="14.25">
      <c r="A12" s="191" t="s">
        <v>221</v>
      </c>
      <c r="B12" s="191" t="s">
        <v>222</v>
      </c>
      <c r="C12" s="191" t="s">
        <v>223</v>
      </c>
      <c r="D12" s="192">
        <v>4</v>
      </c>
    </row>
    <row r="13" spans="1:4" ht="14.25">
      <c r="A13" s="191" t="s">
        <v>253</v>
      </c>
      <c r="B13" s="191" t="s">
        <v>254</v>
      </c>
      <c r="C13" s="191" t="s">
        <v>234</v>
      </c>
      <c r="D13" s="192">
        <v>4</v>
      </c>
    </row>
    <row r="16" ht="12.75">
      <c r="A16" t="s">
        <v>236</v>
      </c>
    </row>
    <row r="17" spans="1:3" ht="14.25">
      <c r="A17" s="190" t="s">
        <v>72</v>
      </c>
      <c r="B17" s="190" t="s">
        <v>232</v>
      </c>
      <c r="C17" s="190" t="s">
        <v>233</v>
      </c>
    </row>
    <row r="18" spans="1:3" ht="14.25">
      <c r="A18" s="191" t="s">
        <v>226</v>
      </c>
      <c r="B18" s="192">
        <v>6</v>
      </c>
      <c r="C18" s="192">
        <v>0</v>
      </c>
    </row>
    <row r="19" spans="1:3" ht="14.25">
      <c r="A19" s="191" t="s">
        <v>220</v>
      </c>
      <c r="B19" s="192">
        <v>10</v>
      </c>
      <c r="C19" s="192">
        <v>0</v>
      </c>
    </row>
    <row r="20" spans="1:3" ht="14.25">
      <c r="A20" s="191" t="s">
        <v>230</v>
      </c>
      <c r="B20" s="192">
        <v>15</v>
      </c>
      <c r="C20" s="192">
        <v>0</v>
      </c>
    </row>
    <row r="21" spans="1:3" ht="14.25">
      <c r="A21" s="191" t="s">
        <v>239</v>
      </c>
      <c r="B21" s="192">
        <v>16</v>
      </c>
      <c r="C21" s="192">
        <v>0</v>
      </c>
    </row>
    <row r="22" spans="1:3" ht="14.25">
      <c r="A22" s="191" t="s">
        <v>229</v>
      </c>
      <c r="B22" s="192">
        <v>16</v>
      </c>
      <c r="C22" s="192">
        <v>0</v>
      </c>
    </row>
    <row r="23" spans="1:3" ht="14.25">
      <c r="A23" s="191" t="s">
        <v>238</v>
      </c>
      <c r="B23" s="192">
        <v>18</v>
      </c>
      <c r="C23" s="192">
        <v>0</v>
      </c>
    </row>
    <row r="24" spans="1:3" ht="14.25">
      <c r="A24" s="191" t="s">
        <v>210</v>
      </c>
      <c r="B24" s="192">
        <v>20</v>
      </c>
      <c r="C24" s="192">
        <v>0</v>
      </c>
    </row>
    <row r="25" spans="1:3" ht="14.25">
      <c r="A25" s="191" t="s">
        <v>234</v>
      </c>
      <c r="B25" s="192">
        <v>20</v>
      </c>
      <c r="C25" s="192">
        <v>0</v>
      </c>
    </row>
    <row r="26" spans="1:3" ht="14.25">
      <c r="A26" s="191" t="s">
        <v>223</v>
      </c>
      <c r="B26" s="192">
        <v>25</v>
      </c>
      <c r="C26" s="192">
        <v>0</v>
      </c>
    </row>
    <row r="27" spans="1:3" ht="14.25">
      <c r="A27" s="191" t="s">
        <v>235</v>
      </c>
      <c r="B27" s="192">
        <v>32</v>
      </c>
      <c r="C27" s="192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3:19" s="71" customFormat="1" ht="33.75" customHeight="1">
      <c r="C1" s="232"/>
      <c r="F1" s="72"/>
      <c r="H1" s="54" t="s">
        <v>36</v>
      </c>
      <c r="I1" s="73"/>
      <c r="J1" s="211" t="str">
        <f>saison</f>
        <v>2021-2022</v>
      </c>
      <c r="K1" s="212"/>
      <c r="L1" s="212"/>
      <c r="M1" s="212"/>
      <c r="N1" s="212"/>
      <c r="O1" s="212"/>
      <c r="P1" s="212"/>
      <c r="Q1" s="212"/>
      <c r="R1" s="212"/>
      <c r="S1" s="213"/>
    </row>
    <row r="2" spans="3:19" s="71" customFormat="1" ht="30" customHeight="1">
      <c r="C2" s="233"/>
      <c r="F2" s="72"/>
      <c r="G2" s="72"/>
      <c r="H2" s="54" t="s">
        <v>37</v>
      </c>
      <c r="J2" s="214" t="str">
        <f>lieu</f>
        <v>Sarcelles</v>
      </c>
      <c r="K2" s="215"/>
      <c r="L2" s="215"/>
      <c r="M2" s="215"/>
      <c r="N2" s="215"/>
      <c r="O2" s="215"/>
      <c r="P2" s="215"/>
      <c r="Q2" s="215"/>
      <c r="R2" s="215"/>
      <c r="S2" s="216"/>
    </row>
    <row r="3" spans="12:19" s="73" customFormat="1" ht="25.5" customHeight="1">
      <c r="L3" s="217" t="s">
        <v>70</v>
      </c>
      <c r="M3" s="217"/>
      <c r="N3" s="217"/>
      <c r="O3" s="217"/>
      <c r="P3" s="217"/>
      <c r="Q3" s="217"/>
      <c r="R3" s="217"/>
      <c r="S3" s="217"/>
    </row>
    <row r="4" spans="1:20" s="73" customFormat="1" ht="21" customHeight="1">
      <c r="A4" s="54" t="s">
        <v>38</v>
      </c>
      <c r="C4" s="211" t="str">
        <f>date</f>
        <v>13 et 14 novembre 2021</v>
      </c>
      <c r="D4" s="212"/>
      <c r="E4" s="212"/>
      <c r="F4" s="212"/>
      <c r="G4" s="212"/>
      <c r="H4" s="213"/>
      <c r="I4" s="218" t="s">
        <v>39</v>
      </c>
      <c r="J4" s="218"/>
      <c r="K4" s="219"/>
      <c r="L4" s="211" t="str">
        <f>catégorie</f>
        <v>D1 Masculine</v>
      </c>
      <c r="M4" s="212"/>
      <c r="N4" s="212"/>
      <c r="O4" s="212"/>
      <c r="P4" s="212"/>
      <c r="Q4" s="212"/>
      <c r="R4" s="212"/>
      <c r="S4" s="212"/>
      <c r="T4" s="213"/>
    </row>
    <row r="5" spans="1:24" s="95" customFormat="1" ht="18" customHeight="1">
      <c r="A5" s="93"/>
      <c r="B5" s="210" t="s">
        <v>69</v>
      </c>
      <c r="C5" s="210"/>
      <c r="D5" s="210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210" t="s">
        <v>137</v>
      </c>
      <c r="C6" s="210"/>
      <c r="D6" s="210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09" t="s">
        <v>30</v>
      </c>
      <c r="Q7" s="209"/>
      <c r="R7" s="209" t="s">
        <v>31</v>
      </c>
      <c r="S7" s="209"/>
      <c r="T7" s="75"/>
      <c r="U7" s="75"/>
      <c r="V7" s="75"/>
      <c r="W7" s="75"/>
      <c r="X7" s="75"/>
    </row>
    <row r="8" spans="2:19" ht="16.5" thickBot="1" thickTop="1">
      <c r="B8" s="40">
        <v>1</v>
      </c>
      <c r="C8" s="101" t="str">
        <f>PA1</f>
        <v>Rennes</v>
      </c>
      <c r="D8" s="40">
        <f>IF(grille!G9&lt;&gt;"",grille!G9,"")</f>
        <v>2</v>
      </c>
      <c r="E8" s="114"/>
      <c r="F8" s="114"/>
      <c r="G8" s="35">
        <f>IF(grille!G15&lt;&gt;"",grille!G15,"")</f>
        <v>4</v>
      </c>
      <c r="H8" s="114"/>
      <c r="I8" s="114"/>
      <c r="J8" s="35">
        <f>IF(grille!G22&lt;&gt;"",grille!G22,"")</f>
        <v>3</v>
      </c>
      <c r="K8" s="114"/>
      <c r="L8" s="114"/>
      <c r="M8" s="41">
        <f>IF(grille!G28&lt;&gt;"",grille!G28,"")</f>
        <v>9</v>
      </c>
      <c r="N8" s="161">
        <f>CalculPointMatchs(D8,D9,G8,G10,J8,J11,M8,M12)</f>
        <v>13.996018</v>
      </c>
      <c r="O8" s="33">
        <f>IF(AND(N8&lt;&gt;"",N9&lt;&gt;"",N10&lt;&gt;"",N11&lt;&gt;"",N12&lt;&gt;""),RANK(N8,N$8:N$12),"")</f>
        <v>1</v>
      </c>
      <c r="P8" s="206">
        <f>SUM(D9,G10,J11,M12)</f>
        <v>4</v>
      </c>
      <c r="Q8" s="207"/>
      <c r="R8" s="208">
        <f>SUM(D8:M8)</f>
        <v>18</v>
      </c>
      <c r="S8" s="207"/>
    </row>
    <row r="9" spans="2:19" ht="16.5" thickBot="1" thickTop="1">
      <c r="B9" s="42">
        <v>3</v>
      </c>
      <c r="C9" s="102" t="str">
        <f>PA3</f>
        <v>Dinan</v>
      </c>
      <c r="D9" s="42">
        <f>IF(grille!H9&lt;&gt;"",grille!H9,"")</f>
        <v>1</v>
      </c>
      <c r="E9" s="113"/>
      <c r="F9" s="36">
        <f>IF(grille!G13&lt;&gt;"",grille!G13,"")</f>
        <v>4</v>
      </c>
      <c r="G9" s="113"/>
      <c r="H9" s="113"/>
      <c r="I9" s="36">
        <f>IF(grille!G20&lt;&gt;"",grille!G20,"")</f>
        <v>4</v>
      </c>
      <c r="J9" s="113"/>
      <c r="K9" s="113"/>
      <c r="L9" s="36">
        <f>IF(grille!G26&lt;&gt;"",grille!G26,"")</f>
        <v>2</v>
      </c>
      <c r="M9" s="115"/>
      <c r="N9" s="161">
        <f>CalculPointMatchs(D9,D8,F9,F12,I9,I10,L9,L11)</f>
        <v>12.995011</v>
      </c>
      <c r="O9" s="33">
        <f>IF(AND(N8&lt;&gt;"",N9&lt;&gt;"",N10&lt;&gt;"",N11&lt;&gt;"",N12&lt;&gt;""),RANK(N9,N$8:N$12),"")</f>
        <v>2</v>
      </c>
      <c r="P9" s="206">
        <f>SUM(D8,F12,I10,L11)</f>
        <v>5</v>
      </c>
      <c r="Q9" s="207"/>
      <c r="R9" s="208">
        <f>SUM(D9:M9)</f>
        <v>11</v>
      </c>
      <c r="S9" s="207"/>
    </row>
    <row r="10" spans="2:19" ht="16.5" thickBot="1" thickTop="1">
      <c r="B10" s="42">
        <v>5</v>
      </c>
      <c r="C10" s="102" t="str">
        <f>PA5</f>
        <v>Franconville</v>
      </c>
      <c r="D10" s="111"/>
      <c r="E10" s="36">
        <f>IF(grille!G11&lt;&gt;"",grille!G11,"")</f>
        <v>2</v>
      </c>
      <c r="F10" s="113"/>
      <c r="G10" s="36">
        <f>IF(grille!H15&lt;&gt;"",grille!H15,"")</f>
        <v>0</v>
      </c>
      <c r="H10" s="113"/>
      <c r="I10" s="36">
        <f>IF(grille!H20&lt;&gt;"",grille!H20,"")</f>
        <v>1</v>
      </c>
      <c r="J10" s="113"/>
      <c r="K10" s="36">
        <f>IF(grille!G24&lt;&gt;"",grille!G24,"")</f>
        <v>1</v>
      </c>
      <c r="L10" s="113"/>
      <c r="M10" s="115"/>
      <c r="N10" s="161">
        <f>CalculPointMatchs(E10,E11,G10,G8,I10,I9,K10,K12)</f>
        <v>3.987004</v>
      </c>
      <c r="O10" s="33">
        <f>IF(AND(N8&lt;&gt;"",N9&lt;&gt;"",N10&lt;&gt;"",N11&lt;&gt;"",N12&lt;&gt;""),RANK(N10,N$8:N$12),"")</f>
        <v>5</v>
      </c>
      <c r="P10" s="206">
        <f>SUM(E11,G8,I9,K12)</f>
        <v>13</v>
      </c>
      <c r="Q10" s="207"/>
      <c r="R10" s="208">
        <f>SUM(D10:M10)</f>
        <v>4</v>
      </c>
      <c r="S10" s="207"/>
    </row>
    <row r="11" spans="2:19" ht="16.5" thickBot="1" thickTop="1">
      <c r="B11" s="42">
        <v>7</v>
      </c>
      <c r="C11" s="102" t="str">
        <f>PA7</f>
        <v>Pontoise</v>
      </c>
      <c r="D11" s="111"/>
      <c r="E11" s="36">
        <f>IF(grille!H11&lt;&gt;"",grille!H11,"")</f>
        <v>3</v>
      </c>
      <c r="F11" s="113"/>
      <c r="G11" s="113"/>
      <c r="H11" s="24">
        <f>IF(grille!G17&lt;&gt;"",grille!G17,"")</f>
        <v>4</v>
      </c>
      <c r="I11" s="113"/>
      <c r="J11" s="24">
        <f>IF(grille!H22&lt;&gt;"",grille!H22,"")</f>
        <v>3</v>
      </c>
      <c r="K11" s="113"/>
      <c r="L11" s="36">
        <f>IF(grille!H26&lt;&gt;"",grille!H26,"")</f>
        <v>1</v>
      </c>
      <c r="M11" s="115"/>
      <c r="N11" s="161">
        <f>CalculPointMatchs(E11,E10,H11,H12,J11,J8,L11,L9)</f>
        <v>10.993011</v>
      </c>
      <c r="O11" s="33">
        <f>IF(AND(N8&lt;&gt;"",N9&lt;&gt;"",N10&lt;&gt;"",N11&lt;&gt;"",N12&lt;&gt;""),RANK(N11,N$8:N$12),"")</f>
        <v>3</v>
      </c>
      <c r="P11" s="206">
        <f>SUM(E10,H12,J8,L9)</f>
        <v>7</v>
      </c>
      <c r="Q11" s="207"/>
      <c r="R11" s="208">
        <f>SUM(D11:M11)</f>
        <v>11</v>
      </c>
      <c r="S11" s="207"/>
    </row>
    <row r="12" spans="2:19" ht="16.5" thickBot="1" thickTop="1">
      <c r="B12" s="53">
        <v>9</v>
      </c>
      <c r="C12" s="103" t="str">
        <f>PA9</f>
        <v>PESSAC</v>
      </c>
      <c r="D12" s="112"/>
      <c r="E12" s="116"/>
      <c r="F12" s="25">
        <f>IF(grille!H13&lt;&gt;"",grille!H13,"")</f>
        <v>1</v>
      </c>
      <c r="G12" s="116"/>
      <c r="H12" s="25">
        <f>IF(grille!H17&lt;&gt;"",grille!H17,"")</f>
        <v>0</v>
      </c>
      <c r="I12" s="116"/>
      <c r="J12" s="116"/>
      <c r="K12" s="37">
        <f>IF(grille!H24&lt;&gt;"",grille!H24,"")</f>
        <v>2</v>
      </c>
      <c r="L12" s="116"/>
      <c r="M12" s="39">
        <f>IF(grille!H28&lt;&gt;"",grille!H28,"")</f>
        <v>0</v>
      </c>
      <c r="N12" s="162">
        <f>CalculPointMatchs(F12,F9,H12,H11,K12,K10,M12,M8)</f>
        <v>6.982003</v>
      </c>
      <c r="O12" s="33">
        <f>IF(AND(N8&lt;&gt;"",N9&lt;&gt;"",N10&lt;&gt;"",N11&lt;&gt;"",N12&lt;&gt;""),RANK(N12,N$8:N$12),"")</f>
        <v>4</v>
      </c>
      <c r="P12" s="206">
        <f>SUM(F9,H11,K10,M8)</f>
        <v>18</v>
      </c>
      <c r="Q12" s="207"/>
      <c r="R12" s="208">
        <f>SUM(D12:M12)</f>
        <v>3</v>
      </c>
      <c r="S12" s="207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09" t="s">
        <v>30</v>
      </c>
      <c r="Q15" s="209"/>
      <c r="R15" s="209" t="s">
        <v>31</v>
      </c>
      <c r="S15" s="209"/>
    </row>
    <row r="16" spans="2:19" ht="16.5" thickBot="1" thickTop="1">
      <c r="B16" s="40">
        <v>2</v>
      </c>
      <c r="C16" s="101" t="str">
        <f>PB2</f>
        <v>Fontenay</v>
      </c>
      <c r="D16" s="40">
        <f>IF(grille!G10&lt;&gt;"",grille!G10,"")</f>
        <v>0</v>
      </c>
      <c r="E16" s="114"/>
      <c r="F16" s="114"/>
      <c r="G16" s="35">
        <f>IF(grille!G16&lt;&gt;"",grille!G16,"")</f>
        <v>2</v>
      </c>
      <c r="H16" s="114"/>
      <c r="I16" s="114"/>
      <c r="J16" s="35">
        <f>IF(grille!G23&lt;&gt;"",grille!G23,"")</f>
        <v>3</v>
      </c>
      <c r="K16" s="114"/>
      <c r="L16" s="114"/>
      <c r="M16" s="41">
        <f>IF(grille!G29&lt;&gt;"",grille!G29,"")</f>
        <v>2</v>
      </c>
      <c r="N16" s="161">
        <f>CalculPointMatchs(D16,D17,G16,G18,J16,J19,M16,M20)</f>
        <v>12.994007</v>
      </c>
      <c r="O16" s="33">
        <f>IF(AND(N16&lt;&gt;"",N17&lt;&gt;"",N18&lt;&gt;"",N19&lt;&gt;"",N20&lt;&gt;""),RANK(N16,N$16:N$20),"")</f>
        <v>2</v>
      </c>
      <c r="P16" s="206">
        <f>SUM(D17,G18,J19,M20)</f>
        <v>6</v>
      </c>
      <c r="Q16" s="207"/>
      <c r="R16" s="208">
        <f>SUM(D16:M16)</f>
        <v>7</v>
      </c>
      <c r="S16" s="207"/>
    </row>
    <row r="17" spans="2:19" ht="16.5" thickBot="1" thickTop="1">
      <c r="B17" s="42">
        <v>4</v>
      </c>
      <c r="C17" s="102" t="str">
        <f>PB4</f>
        <v>Moirans</v>
      </c>
      <c r="D17" s="42">
        <f>IF(grille!H10&lt;&gt;"",grille!H10,"")</f>
        <v>2</v>
      </c>
      <c r="E17" s="113"/>
      <c r="F17" s="36">
        <f>IF(grille!G14&lt;&gt;"",grille!G14,"")</f>
        <v>5</v>
      </c>
      <c r="G17" s="113"/>
      <c r="H17" s="113"/>
      <c r="I17" s="36">
        <f>IF(grille!G21&lt;&gt;"",grille!G21,"")</f>
        <v>7</v>
      </c>
      <c r="J17" s="113"/>
      <c r="K17" s="113"/>
      <c r="L17" s="36">
        <f>IF(grille!G27&lt;&gt;"",grille!G27,"")</f>
        <v>6</v>
      </c>
      <c r="M17" s="115"/>
      <c r="N17" s="161">
        <f>CalculPointMatchs(D17,D16,F17,F20,I17,I18,L17,L19)</f>
        <v>16.00002</v>
      </c>
      <c r="O17" s="33">
        <f>IF(AND(N16&lt;&gt;"",N17&lt;&gt;"",N18&lt;&gt;"",N19&lt;&gt;"",N20&lt;&gt;""),RANK(N17,N$16:N$20),"")</f>
        <v>1</v>
      </c>
      <c r="P17" s="206">
        <f>SUM(D16,F20,I18,L19)</f>
        <v>0</v>
      </c>
      <c r="Q17" s="207"/>
      <c r="R17" s="208">
        <f>SUM(D17:M17)</f>
        <v>20</v>
      </c>
      <c r="S17" s="207"/>
    </row>
    <row r="18" spans="2:19" ht="16.5" thickBot="1" thickTop="1">
      <c r="B18" s="42">
        <v>6</v>
      </c>
      <c r="C18" s="102" t="str">
        <f>PB6</f>
        <v>Saintes</v>
      </c>
      <c r="D18" s="111"/>
      <c r="E18" s="36">
        <f>IF(grille!G12&lt;&gt;"",grille!G12,"")</f>
        <v>4</v>
      </c>
      <c r="F18" s="113"/>
      <c r="G18" s="36">
        <f>IF(grille!H16&lt;&gt;"",grille!H16,"")</f>
        <v>1</v>
      </c>
      <c r="H18" s="113"/>
      <c r="I18" s="36">
        <f>IF(grille!H21&lt;&gt;"",grille!H21,"")</f>
        <v>0</v>
      </c>
      <c r="J18" s="113"/>
      <c r="K18" s="36">
        <f>IF(grille!G25&lt;&gt;"",grille!G25,"")</f>
        <v>2</v>
      </c>
      <c r="L18" s="113"/>
      <c r="M18" s="115"/>
      <c r="N18" s="161">
        <f>CalculPointMatchs(E18,E19,G18,G16,I18,I17,K18,K20)</f>
        <v>7.986007</v>
      </c>
      <c r="O18" s="33">
        <f>IF(AND(N16&lt;&gt;"",N17&lt;&gt;"",N18&lt;&gt;"",N19&lt;&gt;"",N20&lt;&gt;""),RANK(N18,N$16:N$20),"")</f>
        <v>4</v>
      </c>
      <c r="P18" s="206">
        <f>SUM(E19,G16,I17,K20)</f>
        <v>14</v>
      </c>
      <c r="Q18" s="207"/>
      <c r="R18" s="208">
        <f>SUM(D18:M18)</f>
        <v>7</v>
      </c>
      <c r="S18" s="207"/>
    </row>
    <row r="19" spans="2:19" ht="16.5" thickBot="1" thickTop="1">
      <c r="B19" s="42">
        <v>8</v>
      </c>
      <c r="C19" s="102" t="str">
        <f>PB8</f>
        <v>Diderot XII</v>
      </c>
      <c r="D19" s="111"/>
      <c r="E19" s="36">
        <f>IF(grille!H12&lt;&gt;"",grille!H12,"")</f>
        <v>3</v>
      </c>
      <c r="F19" s="113"/>
      <c r="G19" s="113"/>
      <c r="H19" s="24">
        <f>IF(grille!G18&lt;&gt;"",grille!G18,"")</f>
        <v>1</v>
      </c>
      <c r="I19" s="113"/>
      <c r="J19" s="24">
        <f>IF(grille!H23&lt;&gt;"",grille!H23,"")</f>
        <v>2</v>
      </c>
      <c r="K19" s="113"/>
      <c r="L19" s="36">
        <f>IF(grille!H27&lt;&gt;"",grille!H27,"")</f>
        <v>0</v>
      </c>
      <c r="M19" s="115"/>
      <c r="N19" s="161">
        <f>CalculPointMatchs(E19,E18,H19,H20,J19,J16,L19,L17)</f>
        <v>3.985006</v>
      </c>
      <c r="O19" s="33">
        <f>IF(AND(N16&lt;&gt;"",N17&lt;&gt;"",N18&lt;&gt;"",N19&lt;&gt;"",N20&lt;&gt;""),RANK(N19,N$16:N$20),"")</f>
        <v>5</v>
      </c>
      <c r="P19" s="206">
        <f>SUM(E18,H20,J16,L17)</f>
        <v>15</v>
      </c>
      <c r="Q19" s="207"/>
      <c r="R19" s="208">
        <f>SUM(D19:M19)</f>
        <v>6</v>
      </c>
      <c r="S19" s="207"/>
    </row>
    <row r="20" spans="2:19" ht="16.5" thickBot="1" thickTop="1">
      <c r="B20" s="53">
        <v>10</v>
      </c>
      <c r="C20" s="103" t="str">
        <f>PB10</f>
        <v>Le Chesnay</v>
      </c>
      <c r="D20" s="112"/>
      <c r="E20" s="116"/>
      <c r="F20" s="25">
        <f>IF(grille!H14&lt;&gt;"",grille!H14,"")</f>
        <v>0</v>
      </c>
      <c r="G20" s="116"/>
      <c r="H20" s="25">
        <f>IF(grille!H18&lt;&gt;"",grille!H18,"")</f>
        <v>2</v>
      </c>
      <c r="I20" s="116"/>
      <c r="J20" s="116"/>
      <c r="K20" s="37">
        <f>IF(grille!H25&lt;&gt;"",grille!H25,"")</f>
        <v>2</v>
      </c>
      <c r="L20" s="116"/>
      <c r="M20" s="39">
        <f>IF(grille!H29&lt;&gt;"",grille!H29,"")</f>
        <v>1</v>
      </c>
      <c r="N20" s="162">
        <f>CalculPointMatchs(F20,F17,H20,H19,K20,K18,M20,M16)</f>
        <v>7.990005</v>
      </c>
      <c r="O20" s="33">
        <f>IF(AND(N16&lt;&gt;"",N17&lt;&gt;"",N18&lt;&gt;"",N19&lt;&gt;"",N20&lt;&gt;""),RANK(N20,N$16:N$20),"")</f>
        <v>3</v>
      </c>
      <c r="P20" s="206">
        <f>SUM(F17,H19,K18,M16)</f>
        <v>10</v>
      </c>
      <c r="Q20" s="207"/>
      <c r="R20" s="208">
        <f>SUM(D20:M20)</f>
        <v>5</v>
      </c>
      <c r="S20" s="207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">
      <c r="B23" s="164"/>
      <c r="C23" s="164"/>
      <c r="D23" s="140" t="s">
        <v>26</v>
      </c>
      <c r="E23" s="194" t="str">
        <f>_xlfn.IFERROR(INDEX(C16:C20,MATCH(4,O16:O20,0)),"")</f>
        <v>Saintes</v>
      </c>
      <c r="F23" s="195"/>
      <c r="G23" s="195"/>
      <c r="H23" s="196"/>
      <c r="I23" s="166">
        <f>IF(grille!G31&lt;&gt;"",grille!G31,"")</f>
        <v>2</v>
      </c>
      <c r="J23" s="167"/>
      <c r="K23" s="43"/>
      <c r="L23" s="140" t="s">
        <v>25</v>
      </c>
      <c r="M23" s="194" t="str">
        <f>_xlfn.IFERROR(INDEX(C16:C20,MATCH(5,O16:O20,0)),"")</f>
        <v>Diderot XII</v>
      </c>
      <c r="N23" s="195"/>
      <c r="O23" s="195"/>
      <c r="P23" s="196"/>
      <c r="Q23" s="166">
        <f>IF(grille!G32&lt;&gt;"",grille!G32,"")</f>
        <v>4</v>
      </c>
      <c r="R23" s="138"/>
      <c r="S23" s="164"/>
      <c r="T23" s="164"/>
    </row>
    <row r="24" spans="2:20" ht="15.75" thickBot="1">
      <c r="B24" s="164"/>
      <c r="C24" s="164"/>
      <c r="D24" s="141" t="s">
        <v>23</v>
      </c>
      <c r="E24" s="197" t="str">
        <f>_xlfn.IFERROR(INDEX(C8:C12,MATCH(5,O8:O12,0)),"")</f>
        <v>Franconville</v>
      </c>
      <c r="F24" s="198"/>
      <c r="G24" s="198"/>
      <c r="H24" s="199"/>
      <c r="I24" s="169">
        <f>IF(grille!H31&lt;&gt;"",grille!H31,"")</f>
        <v>4</v>
      </c>
      <c r="J24" s="167"/>
      <c r="K24" s="43"/>
      <c r="L24" s="141" t="s">
        <v>24</v>
      </c>
      <c r="M24" s="197" t="str">
        <f>_xlfn.IFERROR(INDEX(C8:C12,MATCH(4,O8:O12,0)),"")</f>
        <v>PESSAC</v>
      </c>
      <c r="N24" s="198"/>
      <c r="O24" s="198"/>
      <c r="P24" s="199"/>
      <c r="Q24" s="169">
        <f>IF(grille!H32&lt;&gt;"",grille!H32,"")</f>
        <v>1</v>
      </c>
      <c r="R24" s="138"/>
      <c r="S24" s="164"/>
      <c r="T24" s="164"/>
    </row>
    <row r="25" spans="2:22" ht="1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5.7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">
      <c r="B27" s="140" t="s">
        <v>14</v>
      </c>
      <c r="C27" s="170" t="str">
        <f>_xlfn.IFERROR(INDEX(C8:C12,MATCH(3,O8:O12,0)),"")</f>
        <v>Pontoise</v>
      </c>
      <c r="D27" s="166">
        <f>IF(grille!G33&lt;&gt;"",grille!G33,"")</f>
        <v>0</v>
      </c>
      <c r="E27" s="43"/>
      <c r="F27" s="167"/>
      <c r="G27" s="140" t="s">
        <v>10</v>
      </c>
      <c r="H27" s="200" t="str">
        <f>_xlfn.IFERROR(INDEX(C8:C12,MATCH(1,O8:O12,0)),"")</f>
        <v>Rennes</v>
      </c>
      <c r="I27" s="201"/>
      <c r="J27" s="201"/>
      <c r="K27" s="202"/>
      <c r="L27" s="166">
        <f>IF(grille!G34&lt;&gt;"",grille!G34,"")</f>
        <v>2</v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5.75" thickBot="1">
      <c r="B28" s="141" t="s">
        <v>12</v>
      </c>
      <c r="C28" s="171" t="str">
        <f>_xlfn.IFERROR(INDEX(C16:C20,MATCH(2,O16:O20,0)),"")</f>
        <v>Fontenay</v>
      </c>
      <c r="D28" s="169">
        <f>IF(grille!H33&lt;&gt;"",grille!H33,"")</f>
        <v>2</v>
      </c>
      <c r="E28" s="43"/>
      <c r="F28" s="167"/>
      <c r="G28" s="141" t="s">
        <v>111</v>
      </c>
      <c r="H28" s="203" t="str">
        <f>Gagnant(E23:I24)</f>
        <v>Franconville</v>
      </c>
      <c r="I28" s="204"/>
      <c r="J28" s="204"/>
      <c r="K28" s="205"/>
      <c r="L28" s="169">
        <f>IF(grille!H34&lt;&gt;"",grille!H34,"")</f>
        <v>1</v>
      </c>
      <c r="M28" s="138"/>
      <c r="N28" s="138"/>
      <c r="O28" s="164"/>
      <c r="P28" s="164"/>
      <c r="Q28" s="164"/>
      <c r="R28" s="164"/>
      <c r="S28" s="164"/>
      <c r="T28" s="164"/>
    </row>
    <row r="29" spans="2:20" ht="1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5.7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">
      <c r="B31" s="140" t="s">
        <v>11</v>
      </c>
      <c r="C31" s="170" t="str">
        <f>_xlfn.IFERROR(INDEX(C8:C12,MATCH(2,O8:O12,0)),"")</f>
        <v>Dinan</v>
      </c>
      <c r="D31" s="166">
        <f>IF(grille!G35&lt;&gt;"",grille!G35,"")</f>
        <v>3</v>
      </c>
      <c r="E31" s="138"/>
      <c r="F31" s="43"/>
      <c r="G31" s="140" t="s">
        <v>112</v>
      </c>
      <c r="H31" s="200" t="str">
        <f>Gagnant(M23:Q24)</f>
        <v>Diderot XII</v>
      </c>
      <c r="I31" s="201"/>
      <c r="J31" s="201"/>
      <c r="K31" s="202"/>
      <c r="L31" s="166">
        <f>IF(grille!G36&lt;&gt;"",grille!G36,"")</f>
        <v>1</v>
      </c>
      <c r="M31" s="138"/>
      <c r="N31" s="167"/>
      <c r="O31" s="138"/>
      <c r="P31" s="138"/>
      <c r="Q31" s="138"/>
      <c r="R31" s="138"/>
      <c r="S31" s="138"/>
      <c r="T31" s="164"/>
    </row>
    <row r="32" spans="2:20" ht="15.75" thickBot="1">
      <c r="B32" s="141" t="s">
        <v>15</v>
      </c>
      <c r="C32" s="171" t="str">
        <f>_xlfn.IFERROR(INDEX(C16:C20,MATCH(3,O16:O20,0)),"")</f>
        <v>Le Chesnay</v>
      </c>
      <c r="D32" s="169">
        <f>IF(grille!H35&lt;&gt;"",grille!H35,"")</f>
        <v>0</v>
      </c>
      <c r="E32" s="138"/>
      <c r="F32" s="43"/>
      <c r="G32" s="141" t="s">
        <v>13</v>
      </c>
      <c r="H32" s="203" t="str">
        <f>_xlfn.IFERROR(INDEX(C16:C20,MATCH(1,O16:O20,0)),"")</f>
        <v>Moirans</v>
      </c>
      <c r="I32" s="204"/>
      <c r="J32" s="204"/>
      <c r="K32" s="205"/>
      <c r="L32" s="169">
        <f>IF(grille!H36&lt;&gt;"",grille!H36,"")</f>
        <v>2</v>
      </c>
      <c r="M32" s="138"/>
      <c r="N32" s="167"/>
      <c r="O32" s="164"/>
      <c r="P32" s="164"/>
      <c r="Q32" s="164"/>
      <c r="R32" s="164"/>
      <c r="S32" s="164"/>
      <c r="T32" s="164"/>
    </row>
    <row r="33" spans="2:20" ht="1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5.7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">
      <c r="B35" s="140" t="s">
        <v>113</v>
      </c>
      <c r="C35" s="172" t="str">
        <f>Perdant(C27:D28)</f>
        <v>Pontoise</v>
      </c>
      <c r="D35" s="166">
        <f>IF(grille!G38&lt;&gt;"",grille!G38,"")</f>
        <v>2</v>
      </c>
      <c r="E35" s="43"/>
      <c r="F35" s="167"/>
      <c r="G35" s="140" t="s">
        <v>115</v>
      </c>
      <c r="H35" s="194" t="str">
        <f>Gagnant(C27:D28)</f>
        <v>Fontenay</v>
      </c>
      <c r="I35" s="195"/>
      <c r="J35" s="195"/>
      <c r="K35" s="196"/>
      <c r="L35" s="166">
        <f>IF(grille!G39&lt;&gt;"",grille!G39,"")</f>
        <v>0</v>
      </c>
      <c r="M35" s="138"/>
      <c r="N35" s="138"/>
      <c r="O35" s="164"/>
      <c r="P35" s="164"/>
      <c r="Q35" s="164"/>
      <c r="R35" s="164"/>
      <c r="S35" s="164"/>
      <c r="T35" s="164"/>
    </row>
    <row r="36" spans="2:20" ht="15.75" thickBot="1">
      <c r="B36" s="141" t="s">
        <v>114</v>
      </c>
      <c r="C36" s="39" t="str">
        <f>Perdant(H27:L28)</f>
        <v>Franconville</v>
      </c>
      <c r="D36" s="169">
        <f>IF(grille!H38&lt;&gt;"",grille!H38,"")</f>
        <v>1</v>
      </c>
      <c r="E36" s="43"/>
      <c r="F36" s="167"/>
      <c r="G36" s="141" t="s">
        <v>116</v>
      </c>
      <c r="H36" s="197" t="str">
        <f>Gagnant(H27:L28)</f>
        <v>Rennes</v>
      </c>
      <c r="I36" s="198"/>
      <c r="J36" s="198"/>
      <c r="K36" s="199"/>
      <c r="L36" s="169">
        <f>IF(grille!H39&lt;&gt;"",grille!H39,"")</f>
        <v>1</v>
      </c>
      <c r="M36" s="138"/>
      <c r="N36" s="138"/>
      <c r="O36" s="164"/>
      <c r="P36" s="164"/>
      <c r="Q36" s="164"/>
      <c r="R36" s="164"/>
      <c r="S36" s="164"/>
      <c r="T36" s="164"/>
    </row>
    <row r="37" spans="2:20" ht="1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5.7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">
      <c r="B39" s="140" t="s">
        <v>117</v>
      </c>
      <c r="C39" s="165" t="str">
        <f>Perdant(C31:D32)</f>
        <v>Le Chesnay</v>
      </c>
      <c r="D39" s="166">
        <f>IF(grille!G40&lt;&gt;"",grille!G40,"")</f>
        <v>0</v>
      </c>
      <c r="E39" s="167"/>
      <c r="F39" s="43"/>
      <c r="G39" s="140" t="s">
        <v>119</v>
      </c>
      <c r="H39" s="194" t="str">
        <f>Gagnant(C31:D32)</f>
        <v>Dinan</v>
      </c>
      <c r="I39" s="195"/>
      <c r="J39" s="195"/>
      <c r="K39" s="196"/>
      <c r="L39" s="166">
        <f>IF(grille!G41&lt;&gt;"",grille!G41,"")</f>
        <v>2</v>
      </c>
      <c r="M39" s="138"/>
      <c r="N39" s="164"/>
      <c r="O39" s="164"/>
      <c r="P39" s="164"/>
      <c r="Q39" s="164"/>
      <c r="R39" s="164"/>
      <c r="S39" s="164"/>
      <c r="T39" s="164"/>
    </row>
    <row r="40" spans="2:20" ht="15.75" thickBot="1">
      <c r="B40" s="141" t="s">
        <v>118</v>
      </c>
      <c r="C40" s="168" t="str">
        <f>Perdant(H31:L32)</f>
        <v>Diderot XII</v>
      </c>
      <c r="D40" s="169">
        <f>IF(grille!H40&lt;&gt;"",grille!H40,"")</f>
        <v>2</v>
      </c>
      <c r="E40" s="167"/>
      <c r="F40" s="43"/>
      <c r="G40" s="141" t="s">
        <v>120</v>
      </c>
      <c r="H40" s="197" t="str">
        <f>Gagnant(H31:L32)</f>
        <v>Moirans</v>
      </c>
      <c r="I40" s="198"/>
      <c r="J40" s="198"/>
      <c r="K40" s="199"/>
      <c r="L40" s="169">
        <f>IF(grille!H41&lt;&gt;"",grille!H41,"")</f>
        <v>3</v>
      </c>
      <c r="M40" s="138"/>
      <c r="N40" s="164"/>
      <c r="O40" s="164"/>
      <c r="P40" s="164"/>
      <c r="Q40" s="164"/>
      <c r="R40" s="164"/>
      <c r="S40" s="164"/>
      <c r="T40" s="164"/>
    </row>
    <row r="41" spans="2:22" ht="1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5.7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">
      <c r="B45" s="140" t="s">
        <v>121</v>
      </c>
      <c r="C45" s="165" t="str">
        <f>Perdant(M23:Q24)</f>
        <v>PESSAC</v>
      </c>
      <c r="D45" s="166">
        <f>IF(grille!G42&lt;&gt;"",grille!G42,"")</f>
        <v>4</v>
      </c>
      <c r="E45" s="50"/>
      <c r="F45" s="43"/>
      <c r="G45" s="140" t="s">
        <v>123</v>
      </c>
      <c r="H45" s="194" t="str">
        <f>Perdant(C35:D36)</f>
        <v>Franconville</v>
      </c>
      <c r="I45" s="195"/>
      <c r="J45" s="195"/>
      <c r="K45" s="196"/>
      <c r="L45" s="166">
        <f>IF(grille!G43&lt;&gt;"",grille!G43,"")</f>
        <v>2</v>
      </c>
      <c r="M45" s="50"/>
      <c r="N45" s="176"/>
      <c r="O45" s="140" t="s">
        <v>125</v>
      </c>
      <c r="P45" s="194" t="str">
        <f>Gagnant(C35:D36)</f>
        <v>Pontoise</v>
      </c>
      <c r="Q45" s="195"/>
      <c r="R45" s="195"/>
      <c r="S45" s="196"/>
      <c r="T45" s="166">
        <f>IF(grille!G44&lt;&gt;"",grille!G44,"")</f>
        <v>5</v>
      </c>
      <c r="U45" s="50"/>
      <c r="V45" s="20"/>
    </row>
    <row r="46" spans="2:22" ht="15.75" thickBot="1">
      <c r="B46" s="141" t="s">
        <v>122</v>
      </c>
      <c r="C46" s="168" t="str">
        <f>Perdant(E23:I24)</f>
        <v>Saintes</v>
      </c>
      <c r="D46" s="169">
        <f>IF(grille!H42&lt;&gt;"",grille!H42,"")</f>
        <v>2</v>
      </c>
      <c r="E46" s="50"/>
      <c r="F46" s="43"/>
      <c r="G46" s="141" t="s">
        <v>124</v>
      </c>
      <c r="H46" s="197" t="str">
        <f>Perdant(C39:D40)</f>
        <v>Le Chesnay</v>
      </c>
      <c r="I46" s="198"/>
      <c r="J46" s="198"/>
      <c r="K46" s="199"/>
      <c r="L46" s="169">
        <f>IF(grille!H43&lt;&gt;"",grille!H43,"")</f>
        <v>0</v>
      </c>
      <c r="M46" s="50"/>
      <c r="N46" s="176"/>
      <c r="O46" s="141" t="s">
        <v>126</v>
      </c>
      <c r="P46" s="197" t="str">
        <f>Gagnant(C39:D40)</f>
        <v>Diderot XII</v>
      </c>
      <c r="Q46" s="198"/>
      <c r="R46" s="198"/>
      <c r="S46" s="199"/>
      <c r="T46" s="169">
        <f>IF(grille!H44&lt;&gt;"",grille!H44,"")</f>
        <v>0</v>
      </c>
      <c r="U46" s="50"/>
      <c r="V46" s="20"/>
    </row>
    <row r="47" spans="2:22" ht="1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5.7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">
      <c r="B49" s="167"/>
      <c r="C49" s="43"/>
      <c r="D49" s="140" t="s">
        <v>127</v>
      </c>
      <c r="E49" s="194" t="str">
        <f>Perdant(H35:L36)</f>
        <v>Fontenay</v>
      </c>
      <c r="F49" s="195"/>
      <c r="G49" s="195"/>
      <c r="H49" s="196"/>
      <c r="I49" s="166">
        <f>IF(grille!G45&lt;&gt;"",grille!G45,"")</f>
        <v>1</v>
      </c>
      <c r="J49" s="50"/>
      <c r="K49" s="167"/>
      <c r="L49" s="140" t="s">
        <v>129</v>
      </c>
      <c r="M49" s="194" t="str">
        <f>Gagnant(H35:L36)</f>
        <v>Rennes</v>
      </c>
      <c r="N49" s="195"/>
      <c r="O49" s="195"/>
      <c r="P49" s="196"/>
      <c r="Q49" s="166">
        <f>IF(grille!G46&lt;&gt;"",grille!G46,"")</f>
        <v>2</v>
      </c>
      <c r="R49" s="50"/>
      <c r="S49" s="138"/>
      <c r="T49" s="164"/>
    </row>
    <row r="50" spans="2:20" ht="15.75" thickBot="1">
      <c r="B50" s="167"/>
      <c r="C50" s="43"/>
      <c r="D50" s="141" t="s">
        <v>128</v>
      </c>
      <c r="E50" s="197" t="str">
        <f>Perdant(H39:L40)</f>
        <v>Dinan</v>
      </c>
      <c r="F50" s="198"/>
      <c r="G50" s="198"/>
      <c r="H50" s="199"/>
      <c r="I50" s="169">
        <f>IF(grille!H45&lt;&gt;"",grille!H45,"")</f>
        <v>4</v>
      </c>
      <c r="J50" s="50"/>
      <c r="K50" s="167"/>
      <c r="L50" s="141" t="s">
        <v>130</v>
      </c>
      <c r="M50" s="197" t="str">
        <f>Gagnant(H39:L40)</f>
        <v>Moirans</v>
      </c>
      <c r="N50" s="198"/>
      <c r="O50" s="198"/>
      <c r="P50" s="199"/>
      <c r="Q50" s="169">
        <f>IF(grille!H46&lt;&gt;"",grille!H46,"")</f>
        <v>1</v>
      </c>
      <c r="R50" s="50"/>
      <c r="S50" s="138"/>
      <c r="T50" s="164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3">
    <mergeCell ref="P46:S46"/>
    <mergeCell ref="H27:K27"/>
    <mergeCell ref="H45:K45"/>
    <mergeCell ref="H31:K31"/>
    <mergeCell ref="H32:K32"/>
    <mergeCell ref="H28:K28"/>
    <mergeCell ref="H39:K39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M50:P50"/>
    <mergeCell ref="E23:H23"/>
    <mergeCell ref="E24:H24"/>
    <mergeCell ref="R20:S20"/>
    <mergeCell ref="R15:S15"/>
    <mergeCell ref="P18:Q18"/>
    <mergeCell ref="P16:Q16"/>
    <mergeCell ref="R17:S17"/>
    <mergeCell ref="R18:S18"/>
    <mergeCell ref="P20:Q20"/>
    <mergeCell ref="M24:P24"/>
    <mergeCell ref="L4:T4"/>
    <mergeCell ref="R8:S8"/>
    <mergeCell ref="R16:S16"/>
    <mergeCell ref="R10:S10"/>
    <mergeCell ref="R11:S11"/>
    <mergeCell ref="R12:S12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C1:C2"/>
    <mergeCell ref="J2:S2"/>
    <mergeCell ref="I4:K4"/>
    <mergeCell ref="L3:S3"/>
    <mergeCell ref="B5:D5"/>
    <mergeCell ref="P17:Q17"/>
    <mergeCell ref="R9:S9"/>
    <mergeCell ref="C4:H4"/>
    <mergeCell ref="B6:D6"/>
    <mergeCell ref="P7:Q7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4" r:id="rId2"/>
  <headerFooter alignWithMargins="0">
    <oddHeader xml:space="preserve">&amp;R&amp;"Arial,Gras"&amp;14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7">
      <selection activeCell="G9" sqref="G9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10.8515625" style="17" customWidth="1"/>
    <col min="5" max="5" width="4.8515625" style="18" customWidth="1"/>
  </cols>
  <sheetData>
    <row r="1" spans="1:5" s="80" customFormat="1" ht="1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2021-2022</v>
      </c>
      <c r="C3" s="78"/>
    </row>
    <row r="4" spans="1:3" s="73" customFormat="1" ht="21" customHeight="1">
      <c r="A4" s="54" t="s">
        <v>38</v>
      </c>
      <c r="B4" s="77" t="str">
        <f>date</f>
        <v>13 et 14 novembre 2021</v>
      </c>
      <c r="C4" s="78"/>
    </row>
    <row r="5" spans="1:5" s="80" customFormat="1" ht="15">
      <c r="A5" s="20"/>
      <c r="B5" s="20"/>
      <c r="C5" s="20"/>
      <c r="D5" s="20"/>
      <c r="E5" s="21"/>
    </row>
    <row r="6" spans="1:3" s="80" customFormat="1" ht="17.25">
      <c r="A6" s="54" t="s">
        <v>37</v>
      </c>
      <c r="B6" s="77" t="str">
        <f>lieu</f>
        <v>Sarcelles</v>
      </c>
      <c r="C6" s="81"/>
    </row>
    <row r="7" spans="1:3" s="80" customFormat="1" ht="17.25">
      <c r="A7" s="54" t="s">
        <v>39</v>
      </c>
      <c r="B7" s="77" t="str">
        <f>catégorie</f>
        <v>D1 Masculine</v>
      </c>
      <c r="C7" s="78"/>
    </row>
    <row r="8" spans="1:5" ht="15">
      <c r="A8" s="27"/>
      <c r="B8" s="27"/>
      <c r="C8" s="27"/>
      <c r="D8" s="27"/>
      <c r="E8" s="28"/>
    </row>
    <row r="9" ht="39.75" customHeight="1" thickBot="1">
      <c r="D9" s="193" t="s">
        <v>255</v>
      </c>
    </row>
    <row r="10" spans="2:4" ht="24.75" customHeight="1">
      <c r="B10" s="189" t="str">
        <f>Gagnant(poules!M49:Q50)</f>
        <v>Rennes</v>
      </c>
      <c r="C10" s="132">
        <v>1</v>
      </c>
      <c r="D10" s="235" t="s">
        <v>256</v>
      </c>
    </row>
    <row r="11" spans="2:4" ht="24.75" customHeight="1">
      <c r="B11" s="131" t="str">
        <f>Perdant(poules!M49:Q50)</f>
        <v>Moirans</v>
      </c>
      <c r="C11" s="132">
        <v>2</v>
      </c>
      <c r="D11" s="236"/>
    </row>
    <row r="12" spans="2:4" ht="24.75" customHeight="1">
      <c r="B12" s="131" t="str">
        <f>Gagnant(poules!E49:I50)</f>
        <v>Dinan</v>
      </c>
      <c r="C12" s="134">
        <v>3</v>
      </c>
      <c r="D12" s="236"/>
    </row>
    <row r="13" spans="2:4" ht="24.75" customHeight="1">
      <c r="B13" s="133" t="str">
        <f>Perdant(poules!E49:I50)</f>
        <v>Fontenay</v>
      </c>
      <c r="C13" s="132">
        <v>4</v>
      </c>
      <c r="D13" s="236"/>
    </row>
    <row r="14" spans="2:4" ht="24.75" customHeight="1">
      <c r="B14" s="131" t="str">
        <f>Gagnant(poules!P45:T46)</f>
        <v>Pontoise</v>
      </c>
      <c r="C14" s="132">
        <v>5</v>
      </c>
      <c r="D14" s="236"/>
    </row>
    <row r="15" spans="2:4" ht="24.75" customHeight="1">
      <c r="B15" s="133" t="str">
        <f>Perdant(poules!P45:T46)</f>
        <v>Diderot XII</v>
      </c>
      <c r="C15" s="132">
        <v>6</v>
      </c>
      <c r="D15" s="236"/>
    </row>
    <row r="16" spans="2:4" ht="24.75" customHeight="1">
      <c r="B16" s="131" t="str">
        <f>Gagnant(poules!H45:L46)</f>
        <v>Franconville</v>
      </c>
      <c r="C16" s="132">
        <v>7</v>
      </c>
      <c r="D16" s="236"/>
    </row>
    <row r="17" spans="2:4" ht="24.75" customHeight="1" thickBot="1">
      <c r="B17" s="133" t="str">
        <f>Perdant(poules!H45:L46)</f>
        <v>Le Chesnay</v>
      </c>
      <c r="C17" s="132">
        <v>8</v>
      </c>
      <c r="D17" s="237"/>
    </row>
    <row r="18" spans="2:4" ht="24.75" customHeight="1">
      <c r="B18" s="131" t="str">
        <f>Gagnant(poules!C45:D46)</f>
        <v>PESSAC</v>
      </c>
      <c r="C18" s="132">
        <v>9</v>
      </c>
      <c r="D18" s="238" t="s">
        <v>257</v>
      </c>
    </row>
    <row r="19" spans="2:4" ht="24.75" customHeight="1" thickBot="1">
      <c r="B19" s="136" t="str">
        <f>Perdant(poules!C45:D46)</f>
        <v>Saintes</v>
      </c>
      <c r="C19" s="137">
        <v>10</v>
      </c>
      <c r="D19" s="239"/>
    </row>
  </sheetData>
  <sheetProtection/>
  <mergeCells count="2">
    <mergeCell ref="D10:D17"/>
    <mergeCell ref="D18:D19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181</v>
      </c>
      <c r="I1" s="109" t="s">
        <v>182</v>
      </c>
      <c r="J1" s="109" t="s">
        <v>183</v>
      </c>
      <c r="K1" s="159" t="s">
        <v>184</v>
      </c>
    </row>
    <row r="2" spans="1:11" ht="12.75">
      <c r="A2" s="160" t="s">
        <v>151</v>
      </c>
      <c r="B2" s="70" t="s">
        <v>174</v>
      </c>
      <c r="C2" s="70" t="s">
        <v>175</v>
      </c>
      <c r="D2" s="160" t="s">
        <v>188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202</v>
      </c>
    </row>
    <row r="3" spans="1:11" ht="12.75">
      <c r="A3" s="160" t="s">
        <v>150</v>
      </c>
      <c r="B3" s="70" t="s">
        <v>170</v>
      </c>
      <c r="C3" s="70" t="s">
        <v>171</v>
      </c>
      <c r="D3" s="160" t="s">
        <v>191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196</v>
      </c>
    </row>
    <row r="4" spans="1:11" ht="12.75">
      <c r="A4" s="160" t="s">
        <v>155</v>
      </c>
      <c r="B4" s="70" t="s">
        <v>172</v>
      </c>
      <c r="C4" s="70" t="s">
        <v>173</v>
      </c>
      <c r="D4" s="160" t="s">
        <v>192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199</v>
      </c>
    </row>
    <row r="5" spans="1:11" ht="12.75">
      <c r="A5" s="160" t="s">
        <v>156</v>
      </c>
      <c r="B5" s="70" t="s">
        <v>176</v>
      </c>
      <c r="C5" s="70" t="s">
        <v>173</v>
      </c>
      <c r="D5" s="160" t="s">
        <v>187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198</v>
      </c>
    </row>
    <row r="6" spans="1:11" ht="12.75">
      <c r="A6" s="160" t="s">
        <v>154</v>
      </c>
      <c r="B6" s="70" t="s">
        <v>168</v>
      </c>
      <c r="C6" s="70" t="s">
        <v>169</v>
      </c>
      <c r="D6" s="160" t="s">
        <v>186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197</v>
      </c>
    </row>
    <row r="7" spans="1:11" ht="12.75">
      <c r="A7" s="160" t="s">
        <v>149</v>
      </c>
      <c r="B7" s="70" t="s">
        <v>162</v>
      </c>
      <c r="C7" s="70" t="s">
        <v>163</v>
      </c>
      <c r="D7" s="160" t="s">
        <v>190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194</v>
      </c>
    </row>
    <row r="8" spans="1:11" ht="12.75">
      <c r="A8" s="160" t="s">
        <v>148</v>
      </c>
      <c r="B8" s="70" t="s">
        <v>164</v>
      </c>
      <c r="C8" s="70" t="s">
        <v>165</v>
      </c>
      <c r="D8" s="160" t="s">
        <v>185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195</v>
      </c>
    </row>
    <row r="9" spans="1:11" ht="12.75">
      <c r="A9" s="160" t="s">
        <v>153</v>
      </c>
      <c r="B9" s="70" t="s">
        <v>166</v>
      </c>
      <c r="C9" s="70" t="s">
        <v>167</v>
      </c>
      <c r="D9" s="160" t="s">
        <v>189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201</v>
      </c>
    </row>
    <row r="10" spans="1:11" ht="12.75">
      <c r="A10" s="160" t="s">
        <v>152</v>
      </c>
      <c r="B10" s="70" t="s">
        <v>177</v>
      </c>
      <c r="C10" s="70" t="s">
        <v>178</v>
      </c>
      <c r="D10" s="160" t="s">
        <v>193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 password="9485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">
      <c r="A1" s="240" t="s">
        <v>40</v>
      </c>
      <c r="B1" s="240"/>
      <c r="C1" s="240"/>
      <c r="D1" s="82"/>
      <c r="E1" s="82"/>
      <c r="F1" s="82"/>
      <c r="G1" s="241" t="s">
        <v>41</v>
      </c>
      <c r="H1" s="241"/>
      <c r="I1" s="241"/>
      <c r="J1" s="241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42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43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cnccn</cp:lastModifiedBy>
  <cp:lastPrinted>2021-11-14T16:27:42Z</cp:lastPrinted>
  <dcterms:created xsi:type="dcterms:W3CDTF">1997-11-08T13:41:57Z</dcterms:created>
  <dcterms:modified xsi:type="dcterms:W3CDTF">2021-12-13T21:02:27Z</dcterms:modified>
  <cp:category/>
  <cp:version/>
  <cp:contentType/>
  <cp:contentStatus/>
</cp:coreProperties>
</file>